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33201\Desktop\DO WYSŁANIA\"/>
    </mc:Choice>
  </mc:AlternateContent>
  <xr:revisionPtr revIDLastSave="0" documentId="8_{57C2EEAD-ADA9-4E53-ADCE-A28F84EAB54D}" xr6:coauthVersionLast="47" xr6:coauthVersionMax="47" xr10:uidLastSave="{00000000-0000-0000-0000-000000000000}"/>
  <bookViews>
    <workbookView xWindow="-108" yWindow="-108" windowWidth="23256" windowHeight="12456" tabRatio="827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Koszty_dz" sheetId="17" r:id="rId5"/>
    <sheet name="Wynik_z_odpisów" sheetId="12" r:id="rId6"/>
    <sheet name="Kredyty" sheetId="16" r:id="rId7"/>
    <sheet name="Kredyty_koszyki" sheetId="18" r:id="rId8"/>
    <sheet name="Zobowiazania" sheetId="15" r:id="rId9"/>
    <sheet name="Segmenty" sheetId="19" r:id="rId10"/>
    <sheet name="CRR" sheetId="20" r:id="rId11"/>
  </sheets>
  <externalReferences>
    <externalReference r:id="rId12"/>
    <externalReference r:id="rId13"/>
    <externalReference r:id="rId14"/>
    <externalReference r:id="rId15"/>
  </externalReferences>
  <definedNames>
    <definedName name="_Hlk38542878" localSheetId="1">RZiS!#REF!</definedName>
    <definedName name="e">[1]Dane!$D$20</definedName>
    <definedName name="LangSelID">[2]POLENG!$I$3</definedName>
    <definedName name="o">[1]Dane!$D$20</definedName>
    <definedName name="Pols" localSheetId="9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23" i="20" l="1"/>
  <c r="AF22" i="20"/>
  <c r="AF8" i="20"/>
  <c r="U163" i="19"/>
  <c r="U158" i="19"/>
  <c r="U149" i="19"/>
  <c r="U145" i="19"/>
  <c r="U152" i="19" s="1"/>
  <c r="U164" i="19" s="1"/>
  <c r="U168" i="19" s="1"/>
  <c r="U170" i="19" s="1"/>
  <c r="U172" i="19" s="1"/>
  <c r="U174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5" i="17"/>
  <c r="AF3" i="17"/>
  <c r="AF19" i="4"/>
  <c r="AF4" i="4"/>
  <c r="AF34" i="3"/>
  <c r="AF27" i="3"/>
  <c r="AF22" i="3"/>
  <c r="AF3" i="3"/>
  <c r="AF18" i="8"/>
  <c r="AF13" i="8"/>
  <c r="AF9" i="8"/>
  <c r="AF6" i="8"/>
  <c r="U12" i="19" l="1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0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0" i="7" l="1"/>
  <c r="AF41" i="7"/>
  <c r="AF24" i="7"/>
  <c r="T132" i="19"/>
  <c r="T202" i="19" s="1"/>
  <c r="T111" i="19"/>
  <c r="AF51" i="7" l="1"/>
  <c r="AE32" i="7"/>
  <c r="AE23" i="20" l="1"/>
  <c r="AE22" i="20"/>
  <c r="AE8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5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0" i="7"/>
  <c r="AE41" i="7"/>
  <c r="AE24" i="7"/>
  <c r="S202" i="19"/>
  <c r="S132" i="19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0" i="17"/>
  <c r="AE37" i="3"/>
  <c r="AE25" i="8"/>
  <c r="AE27" i="8" s="1"/>
  <c r="AE29" i="8" s="1"/>
  <c r="AE30" i="8" s="1"/>
  <c r="AE51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23" i="20"/>
  <c r="AD22" i="20"/>
  <c r="AD8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5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1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0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22" i="20"/>
  <c r="AC22" i="20"/>
  <c r="AB23" i="20"/>
  <c r="AC23" i="20"/>
  <c r="AC8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D164" i="19"/>
  <c r="D168" i="19" s="1"/>
  <c r="D170" i="19" s="1"/>
  <c r="D172" i="19" s="1"/>
  <c r="D174" i="19" s="1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87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D187" i="19" l="1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30" i="19"/>
  <c r="P32" i="19" s="1"/>
  <c r="P34" i="19" s="1"/>
  <c r="P28" i="19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5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30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5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0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5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30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5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30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0" i="17" l="1"/>
  <c r="Y30" i="8" l="1"/>
  <c r="X9" i="15" l="1"/>
  <c r="X3" i="15"/>
  <c r="X7" i="16"/>
  <c r="X3" i="16"/>
  <c r="X15" i="15" l="1"/>
  <c r="X11" i="16"/>
  <c r="X12" i="17" l="1"/>
  <c r="X3" i="17"/>
  <c r="X30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5" i="17"/>
  <c r="W12" i="17"/>
  <c r="W3" i="17"/>
  <c r="W30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5" i="17"/>
  <c r="U29" i="8" l="1"/>
  <c r="U30" i="8" l="1"/>
  <c r="U3" i="15"/>
  <c r="U9" i="15"/>
  <c r="U19" i="4"/>
  <c r="U4" i="4"/>
  <c r="U1" i="4" l="1"/>
  <c r="U15" i="15"/>
  <c r="U30" i="4"/>
  <c r="K6" i="15"/>
  <c r="K12" i="15"/>
  <c r="C25" i="17" l="1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0" i="17" l="1"/>
  <c r="R30" i="17"/>
  <c r="T30" i="17"/>
  <c r="S30" i="17"/>
  <c r="N30" i="17"/>
  <c r="F30" i="17"/>
  <c r="Q30" i="17"/>
  <c r="I30" i="17"/>
  <c r="E30" i="17"/>
  <c r="M30" i="17"/>
  <c r="L30" i="17"/>
  <c r="P30" i="17"/>
  <c r="H30" i="17"/>
  <c r="D30" i="17"/>
  <c r="O30" i="17"/>
  <c r="K30" i="17"/>
  <c r="G30" i="17"/>
  <c r="C30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<sst xmlns="http://schemas.openxmlformats.org/spreadsheetml/2006/main" count="2304" uniqueCount="532">
  <si>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</si>
  <si>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</si>
  <si>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</si>
  <si>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</si>
  <si>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</si>
  <si>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</si>
  <si>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</si>
  <si>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</si>
  <si>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</si>
  <si>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</si>
  <si>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</si>
  <si>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</si>
  <si>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</si>
  <si>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</si>
  <si>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</si>
  <si>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</si>
  <si>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</si>
  <si>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</si>
  <si>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</si>
  <si>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</si>
  <si>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</si>
  <si>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</si>
  <si>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</si>
  <si>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</si>
  <si>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</si>
  <si>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</si>
  <si>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</si>
  <si>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</si>
  <si>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</si>
  <si>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</si>
  <si>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</si>
  <si>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</si>
  <si>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</si>
  <si>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</si>
  <si>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</si>
  <si>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</si>
  <si>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</si>
  <si>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</si>
  <si>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</si>
  <si>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</si>
  <si>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</si>
  <si>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</si>
  <si>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</si>
  <si>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</si>
  <si>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</si>
  <si>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</si>
  <si>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</si>
  <si>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</si>
  <si>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</si>
  <si>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</si>
  <si>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</si>
  <si>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</si>
  <si>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</si>
  <si>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</si>
  <si>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</si>
  <si>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</si>
  <si>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</si>
  <si>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</si>
  <si>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</si>
  <si>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</si>
  <si>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</si>
  <si>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</si>
  <si>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</si>
  <si>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</si>
  <si>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</si>
  <si>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</si>
  <si>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</si>
  <si>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</si>
  <si>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</si>
  <si>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</si>
  <si>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</si>
  <si>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</si>
  <si>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</si>
  <si>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</si>
  <si>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</si>
  <si>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</si>
  <si>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</si>
  <si>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</si>
  <si>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</si>
  <si>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</si>
  <si>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</si>
  <si>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</si>
  <si>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</si>
  <si>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</si>
  <si>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</si>
  <si>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</si>
  <si>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</si>
  <si>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</si>
  <si>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</si>
  <si>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</si>
  <si>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</si>
  <si>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</si>
  <si>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</si>
  <si>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</si>
  <si>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</si>
  <si>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</si>
  <si>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</si>
  <si>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</si>
  <si>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</si>
  <si>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</si>
  <si>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</si>
  <si>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</si>
  <si>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</si>
  <si>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</si>
  <si>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</si>
  <si>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</si>
  <si>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</si>
  <si>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</si>
  <si>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</si>
  <si>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</si>
  <si>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</si>
  <si>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</si>
  <si>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</si>
  <si>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</si>
  <si>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</si>
  <si>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</si>
  <si>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</si>
  <si>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</si>
  <si>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</si>
  <si>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</si>
  <si>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</si>
  <si>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</si>
  <si>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</si>
  <si>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</si>
  <si>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</si>
  <si>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</si>
  <si>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</si>
  <si>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</si>
  <si>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</si>
  <si>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</si>
  <si>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</si>
  <si>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</si>
  <si>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</si>
  <si>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</si>
  <si>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</si>
  <si>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</si>
  <si>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</si>
  <si>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</si>
  <si>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</si>
  <si>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</si>
  <si>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</si>
  <si>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</si>
  <si>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</si>
  <si>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</si>
  <si>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</si>
  <si>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</si>
  <si>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</si>
  <si>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</si>
  <si>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</si>
  <si>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</si>
  <si>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</si>
  <si>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</si>
  <si>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</si>
  <si>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</si>
  <si>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</si>
  <si>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</si>
  <si>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</si>
  <si>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</si>
  <si>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</si>
  <si>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</si>
  <si>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</si>
  <si>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</si>
  <si>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</si>
  <si>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</si>
  <si>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</si>
  <si>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</si>
  <si>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</si>
  <si>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</si>
  <si>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</si>
  <si>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</si>
  <si>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</si>
  <si>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</si>
  <si>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</si>
  <si>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</si>
  <si>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</si>
  <si>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</si>
  <si>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</si>
  <si>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</si>
  <si>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</si>
  <si>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</si>
  <si>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</si>
  <si>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</si>
  <si>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</si>
  <si>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</si>
  <si>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</si>
  <si>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</si>
  <si>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</si>
  <si>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</si>
  <si>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</si>
  <si>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</si>
  <si>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</si>
  <si>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</si>
  <si>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</si>
  <si>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</si>
  <si>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</si>
  <si>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</si>
  <si>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</si>
  <si>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</si>
  <si>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</si>
  <si>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</si>
  <si>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</si>
  <si>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</si>
  <si>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</si>
  <si>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</si>
  <si>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</si>
  <si>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</si>
  <si>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</si>
  <si>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</si>
  <si>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</si>
  <si>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</si>
  <si>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</si>
  <si>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</si>
  <si>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</si>
  <si>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</si>
  <si>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</si>
  <si>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</si>
  <si>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</si>
  <si>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</si>
  <si>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</si>
  <si>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</si>
  <si>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</si>
  <si>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</si>
  <si>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</si>
  <si>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</si>
  <si>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</si>
  <si>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</si>
  <si>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</si>
  <si>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</si>
  <si>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</si>
  <si>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</si>
  <si>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</si>
  <si>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</si>
  <si>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</si>
  <si>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</si>
  <si>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</si>
  <si>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</si>
  <si>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</si>
  <si>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</si>
  <si>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</si>
  <si>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</si>
  <si>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</si>
  <si>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</si>
  <si>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</si>
  <si>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</si>
  <si>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</si>
  <si>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</si>
  <si>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</si>
  <si>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</si>
  <si>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</si>
  <si>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</si>
  <si>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</si>
  <si>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</si>
  <si>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</si>
  <si>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</si>
  <si>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</si>
  <si>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</si>
  <si>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</si>
  <si>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</si>
  <si>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</si>
  <si>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</si>
  <si>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</si>
  <si>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</si>
  <si>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</si>
  <si>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</si>
  <si>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</si>
  <si>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</si>
  <si>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</si>
  <si>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</si>
  <si>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</si>
  <si>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</si>
  <si>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</si>
  <si>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</si>
  <si>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</si>
  <si>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</si>
  <si>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</si>
  <si>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</si>
  <si>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</si>
  <si>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</si>
  <si>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</si>
  <si>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</si>
  <si>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</si>
  <si>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</si>
  <si>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</si>
  <si>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</si>
  <si>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</si>
  <si>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</si>
  <si>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</si>
  <si>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</si>
  <si>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</si>
  <si>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</si>
  <si>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</si>
  <si>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</si>
  <si>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</si>
  <si>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</si>
  <si>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</si>
  <si>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</si>
  <si>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</si>
  <si>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</si>
  <si>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</si>
  <si>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</si>
  <si>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</si>
  <si>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</si>
  <si>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</si>
  <si>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</si>
  <si>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</si>
  <si>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</si>
  <si>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</si>
  <si>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</si>
  <si>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</si>
  <si>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</si>
  <si>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</si>
  <si>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</si>
  <si>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</si>
  <si>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</si>
  <si>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</si>
  <si>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</si>
  <si>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</si>
  <si>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</si>
  <si>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</si>
  <si>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</si>
  <si>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</si>
  <si>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</si>
  <si>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</si>
  <si>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</si>
  <si>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</si>
  <si>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</si>
  <si>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</si>
  <si>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</si>
  <si>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</si>
  <si>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</si>
  <si>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</si>
  <si>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</si>
  <si>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</si>
  <si>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</si>
  <si>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</si>
  <si>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</si>
  <si>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</si>
  <si>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</si>
  <si>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</si>
  <si>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</si>
  <si>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</si>
  <si>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</si>
  <si>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</si>
  <si>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</si>
  <si>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</si>
  <si>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</si>
  <si>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</si>
  <si>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</si>
  <si>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r>
      <t>Wynik z tytułu odpisów na straty oczekiwane</t>
    </r>
    <r>
      <rPr>
        <sz val="7"/>
        <color theme="1"/>
        <rFont val="Times New Roman"/>
        <family val="1"/>
        <charset val="238"/>
      </rPr>
      <t xml:space="preserve"> </t>
    </r>
  </si>
  <si>
    <t>Net impairment allowance</t>
  </si>
  <si>
    <t>Non-financial assets' write-downs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</si>
  <si>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</si>
  <si>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</si>
  <si>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</si>
  <si>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</si>
  <si>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</si>
  <si>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</si>
  <si>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</si>
  <si>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</si>
  <si>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</si>
  <si>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</si>
  <si>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</si>
  <si>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</si>
  <si>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</si>
  <si>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</si>
  <si>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</si>
  <si>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</si>
  <si>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</si>
  <si>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</si>
  <si>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</si>
  <si>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</si>
  <si>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</si>
  <si>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Wynik z odpisów na straty oczekiwane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</si>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</sst>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2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8"/>
      <color theme="1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7"/>
      <color theme="0"/>
      <name val="Lato"/>
      <family val="2"/>
      <charset val="238"/>
    </font>
    <font>
      <sz val="7"/>
      <color theme="1"/>
      <name val="Times New Roman"/>
      <family val="1"/>
      <charset val="238"/>
    </font>
    <font>
      <b/>
      <sz val="8"/>
      <color rgb="FFFFFFFF"/>
      <name val="Lato"/>
      <family val="2"/>
      <charset val="238"/>
    </font>
    <font>
      <sz val="8"/>
      <color theme="1"/>
      <name val="Leto"/>
      <charset val="238"/>
    </font>
    <font>
      <b/>
      <sz val="7"/>
      <color rgb="FFFFFFFF"/>
      <name val="Leto"/>
      <charset val="238"/>
    </font>
    <font>
      <b/>
      <sz val="8"/>
      <color theme="1"/>
      <name val="Leto"/>
      <charset val="238"/>
    </font>
    <font>
      <b/>
      <sz val="7"/>
      <name val="Lato"/>
      <family val="2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3" fillId="11" borderId="0" applyNumberFormat="0" applyBorder="0" applyAlignment="0" applyProtection="0"/>
    <xf numFmtId="0" fontId="24" fillId="14" borderId="7" applyNumberFormat="0" applyAlignment="0" applyProtection="0"/>
    <xf numFmtId="0" fontId="25" fillId="15" borderId="1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9" fillId="13" borderId="7" applyNumberFormat="0" applyAlignment="0" applyProtection="0"/>
    <xf numFmtId="0" fontId="29" fillId="13" borderId="7" applyNumberFormat="0" applyAlignment="0" applyProtection="0"/>
    <xf numFmtId="0" fontId="30" fillId="14" borderId="8" applyNumberFormat="0" applyAlignment="0" applyProtection="0"/>
    <xf numFmtId="0" fontId="30" fillId="14" borderId="8" applyNumberFormat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29" fillId="13" borderId="7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25" fillId="15" borderId="10" applyNumberFormat="0" applyAlignment="0" applyProtection="0"/>
    <xf numFmtId="0" fontId="25" fillId="15" borderId="10" applyNumberFormat="0" applyAlignment="0" applyProtection="0"/>
    <xf numFmtId="0" fontId="38" fillId="0" borderId="9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19" fillId="0" borderId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8" fillId="0" borderId="0"/>
    <xf numFmtId="0" fontId="40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2" fillId="0" borderId="0"/>
    <xf numFmtId="0" fontId="42" fillId="0" borderId="0"/>
    <xf numFmtId="0" fontId="4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2" fillId="0" borderId="0"/>
    <xf numFmtId="0" fontId="45" fillId="0" borderId="0">
      <alignment vertical="top"/>
    </xf>
    <xf numFmtId="0" fontId="46" fillId="0" borderId="0" applyNumberFormat="0" applyBorder="0" applyProtection="0"/>
    <xf numFmtId="0" fontId="4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 applyNumberFormat="0" applyBorder="0" applyProtection="0"/>
    <xf numFmtId="0" fontId="42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4" fillId="14" borderId="7" applyNumberFormat="0" applyAlignment="0" applyProtection="0"/>
    <xf numFmtId="0" fontId="24" fillId="14" borderId="7" applyNumberFormat="0" applyAlignment="0" applyProtection="0"/>
    <xf numFmtId="0" fontId="30" fillId="14" borderId="8" applyNumberFormat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0" fillId="0" borderId="0">
      <alignment horizontal="center"/>
    </xf>
    <xf numFmtId="0" fontId="50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0"/>
    <xf numFmtId="171" fontId="51" fillId="0" borderId="0"/>
    <xf numFmtId="0" fontId="3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9" fillId="0" borderId="0">
      <alignment vertical="top"/>
      <protection locked="0"/>
    </xf>
    <xf numFmtId="9" fontId="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8" fontId="52" fillId="0" borderId="0" applyFont="0" applyFill="0" applyBorder="0" applyAlignment="0" applyProtection="0"/>
    <xf numFmtId="173" fontId="27" fillId="0" borderId="0" applyFont="0" applyFill="0" applyBorder="0" applyAlignment="0" applyProtection="0"/>
    <xf numFmtId="174" fontId="53" fillId="0" borderId="0" applyFont="0" applyFill="0" applyAlignment="0" applyProtection="0"/>
    <xf numFmtId="175" fontId="27" fillId="0" borderId="0" applyFont="0" applyFill="0" applyBorder="0" applyAlignment="0" applyProtection="0"/>
    <xf numFmtId="175" fontId="53" fillId="0" borderId="0" applyFont="0" applyFill="0" applyAlignment="0" applyProtection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2" borderId="0">
      <alignment vertical="center" wrapText="1"/>
    </xf>
    <xf numFmtId="0" fontId="54" fillId="42" borderId="0">
      <alignment vertical="center" wrapText="1"/>
    </xf>
    <xf numFmtId="0" fontId="54" fillId="42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6" fillId="42" borderId="0">
      <alignment vertical="center" wrapText="1"/>
    </xf>
    <xf numFmtId="0" fontId="56" fillId="42" borderId="0">
      <alignment vertical="center" wrapText="1"/>
    </xf>
    <xf numFmtId="0" fontId="56" fillId="42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2" borderId="0">
      <alignment vertical="center" wrapText="1"/>
    </xf>
    <xf numFmtId="0" fontId="58" fillId="42" borderId="0">
      <alignment vertical="center" wrapText="1"/>
    </xf>
    <xf numFmtId="0" fontId="58" fillId="42" borderId="0">
      <alignment vertical="center" wrapText="1"/>
    </xf>
    <xf numFmtId="0" fontId="57" fillId="41" borderId="0"/>
    <xf numFmtId="0" fontId="57" fillId="41" borderId="0"/>
    <xf numFmtId="0" fontId="59" fillId="41" borderId="0"/>
    <xf numFmtId="0" fontId="59" fillId="41" borderId="0"/>
    <xf numFmtId="0" fontId="59" fillId="41" borderId="0"/>
    <xf numFmtId="0" fontId="60" fillId="42" borderId="0">
      <alignment vertical="center" wrapText="1"/>
    </xf>
    <xf numFmtId="0" fontId="60" fillId="42" borderId="0">
      <alignment vertical="center" wrapText="1"/>
    </xf>
    <xf numFmtId="0" fontId="60" fillId="42" borderId="0">
      <alignment vertical="center" wrapText="1"/>
    </xf>
    <xf numFmtId="0" fontId="59" fillId="41" borderId="0"/>
    <xf numFmtId="0" fontId="59" fillId="41" borderId="0"/>
    <xf numFmtId="0" fontId="61" fillId="41" borderId="0"/>
    <xf numFmtId="0" fontId="61" fillId="41" borderId="0"/>
    <xf numFmtId="0" fontId="61" fillId="41" borderId="0"/>
    <xf numFmtId="0" fontId="62" fillId="42" borderId="0">
      <alignment vertical="center" wrapText="1"/>
    </xf>
    <xf numFmtId="0" fontId="62" fillId="42" borderId="0">
      <alignment vertical="center" wrapText="1"/>
    </xf>
    <xf numFmtId="0" fontId="62" fillId="42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2" borderId="0">
      <alignment vertical="center" wrapText="1"/>
    </xf>
    <xf numFmtId="0" fontId="64" fillId="42" borderId="0">
      <alignment vertical="center" wrapText="1"/>
    </xf>
    <xf numFmtId="0" fontId="64" fillId="42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2" borderId="0">
      <alignment vertical="center" wrapText="1"/>
    </xf>
    <xf numFmtId="0" fontId="66" fillId="42" borderId="0">
      <alignment vertical="center" wrapText="1"/>
    </xf>
    <xf numFmtId="0" fontId="66" fillId="42" borderId="0">
      <alignment vertical="center" wrapText="1"/>
    </xf>
    <xf numFmtId="0" fontId="65" fillId="41" borderId="0"/>
    <xf numFmtId="0" fontId="65" fillId="41" borderId="0"/>
    <xf numFmtId="177" fontId="27" fillId="0" borderId="0" applyFont="0" applyFill="0" applyBorder="0" applyAlignment="0" applyProtection="0"/>
    <xf numFmtId="177" fontId="53" fillId="0" borderId="0" applyFont="0" applyFill="0" applyAlignment="0" applyProtection="0"/>
    <xf numFmtId="178" fontId="27" fillId="0" borderId="0" applyFont="0" applyFill="0" applyBorder="0" applyAlignment="0" applyProtection="0"/>
    <xf numFmtId="179" fontId="53" fillId="0" borderId="0" applyFont="0" applyFill="0" applyAlignment="0" applyProtection="0"/>
    <xf numFmtId="180" fontId="27" fillId="0" borderId="0" applyFont="0" applyFill="0" applyBorder="0" applyAlignment="0" applyProtection="0"/>
    <xf numFmtId="180" fontId="53" fillId="0" borderId="0" applyFont="0" applyFill="0" applyAlignment="0" applyProtection="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2" fontId="6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3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4" fontId="27" fillId="43" borderId="20"/>
    <xf numFmtId="185" fontId="54" fillId="0" borderId="20">
      <alignment vertical="center" wrapText="1"/>
    </xf>
    <xf numFmtId="185" fontId="54" fillId="0" borderId="20">
      <alignment vertical="center" wrapText="1"/>
    </xf>
    <xf numFmtId="185" fontId="54" fillId="0" borderId="20">
      <alignment vertical="center" wrapText="1"/>
    </xf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3" fontId="2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1" fontId="27" fillId="43" borderId="20"/>
    <xf numFmtId="181" fontId="27" fillId="43" borderId="20"/>
    <xf numFmtId="183" fontId="27" fillId="43" borderId="20"/>
    <xf numFmtId="176" fontId="27" fillId="0" borderId="0">
      <alignment horizontal="left" wrapText="1"/>
    </xf>
    <xf numFmtId="0" fontId="42" fillId="0" borderId="0"/>
    <xf numFmtId="0" fontId="42" fillId="0" borderId="0"/>
    <xf numFmtId="186" fontId="27" fillId="0" borderId="0" applyFont="0" applyFill="0" applyBorder="0" applyAlignment="0" applyProtection="0"/>
    <xf numFmtId="187" fontId="53" fillId="0" borderId="0" applyFon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57" fillId="43" borderId="0"/>
    <xf numFmtId="0" fontId="57" fillId="43" borderId="0"/>
    <xf numFmtId="0" fontId="57" fillId="43" borderId="0"/>
    <xf numFmtId="0" fontId="68" fillId="0" borderId="0">
      <alignment vertical="center" wrapText="1"/>
    </xf>
    <xf numFmtId="0" fontId="68" fillId="0" borderId="0">
      <alignment vertical="center" wrapText="1"/>
    </xf>
    <xf numFmtId="0" fontId="68" fillId="0" borderId="0">
      <alignment vertical="center" wrapText="1"/>
    </xf>
    <xf numFmtId="0" fontId="57" fillId="43" borderId="0"/>
    <xf numFmtId="0" fontId="57" fillId="43" borderId="0"/>
    <xf numFmtId="0" fontId="69" fillId="0" borderId="0" applyNumberFormat="0" applyFill="0" applyBorder="0" applyAlignment="0" applyProtection="0"/>
    <xf numFmtId="188" fontId="69" fillId="0" borderId="0" applyFill="0" applyAlignment="0" applyProtection="0"/>
    <xf numFmtId="0" fontId="27" fillId="44" borderId="0" applyNumberFormat="0" applyFont="0" applyAlignment="0" applyProtection="0"/>
    <xf numFmtId="188" fontId="53" fillId="45" borderId="0" applyFont="0" applyAlignment="0" applyProtection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89" fontId="27" fillId="0" borderId="0" applyFont="0" applyFill="0" applyBorder="0" applyAlignment="0" applyProtection="0"/>
    <xf numFmtId="190" fontId="53" fillId="0" borderId="0" applyFont="0" applyFill="0" applyAlignment="0" applyProtection="0"/>
    <xf numFmtId="191" fontId="27" fillId="0" borderId="0" applyFont="0" applyFill="0" applyBorder="0" applyProtection="0">
      <alignment horizontal="right"/>
    </xf>
    <xf numFmtId="191" fontId="53" fillId="0" borderId="0" applyFont="0" applyFill="0" applyProtection="0">
      <alignment horizontal="right"/>
    </xf>
    <xf numFmtId="0" fontId="42" fillId="0" borderId="0"/>
    <xf numFmtId="0" fontId="70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6" borderId="0">
      <alignment vertical="center" wrapText="1"/>
    </xf>
    <xf numFmtId="0" fontId="58" fillId="46" borderId="0">
      <alignment vertical="center" wrapText="1"/>
    </xf>
    <xf numFmtId="0" fontId="58" fillId="46" borderId="0">
      <alignment vertical="center" wrapText="1"/>
    </xf>
    <xf numFmtId="0" fontId="57" fillId="41" borderId="0"/>
    <xf numFmtId="0" fontId="57" fillId="41" borderId="0"/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61" fillId="41" borderId="0"/>
    <xf numFmtId="0" fontId="61" fillId="41" borderId="0"/>
    <xf numFmtId="0" fontId="61" fillId="41" borderId="0"/>
    <xf numFmtId="0" fontId="62" fillId="46" borderId="0">
      <alignment vertical="center" wrapText="1"/>
    </xf>
    <xf numFmtId="0" fontId="62" fillId="46" borderId="0">
      <alignment vertical="center" wrapText="1"/>
    </xf>
    <xf numFmtId="0" fontId="62" fillId="46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6" borderId="0">
      <alignment vertical="center" wrapText="1"/>
    </xf>
    <xf numFmtId="0" fontId="64" fillId="46" borderId="0">
      <alignment vertical="center" wrapText="1"/>
    </xf>
    <xf numFmtId="0" fontId="64" fillId="46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6" borderId="0">
      <alignment vertical="center" wrapText="1"/>
    </xf>
    <xf numFmtId="0" fontId="66" fillId="46" borderId="0">
      <alignment vertical="center" wrapText="1"/>
    </xf>
    <xf numFmtId="0" fontId="66" fillId="46" borderId="0">
      <alignment vertical="center" wrapText="1"/>
    </xf>
    <xf numFmtId="0" fontId="65" fillId="41" borderId="0"/>
    <xf numFmtId="0" fontId="65" fillId="41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71" fillId="0" borderId="0" applyNumberFormat="0" applyFill="0" applyBorder="0" applyProtection="0">
      <alignment vertical="top"/>
    </xf>
    <xf numFmtId="188" fontId="71" fillId="0" borderId="0" applyFill="0" applyProtection="0">
      <alignment vertical="top"/>
    </xf>
    <xf numFmtId="0" fontId="72" fillId="0" borderId="21" applyNumberFormat="0" applyFill="0" applyAlignment="0" applyProtection="0"/>
    <xf numFmtId="188" fontId="72" fillId="0" borderId="21" applyFill="0" applyAlignment="0" applyProtection="0"/>
    <xf numFmtId="0" fontId="73" fillId="0" borderId="22" applyNumberFormat="0" applyFill="0" applyProtection="0">
      <alignment horizontal="center"/>
    </xf>
    <xf numFmtId="188" fontId="73" fillId="0" borderId="22" applyFill="0" applyProtection="0">
      <alignment horizontal="center"/>
    </xf>
    <xf numFmtId="0" fontId="73" fillId="0" borderId="0" applyNumberFormat="0" applyFill="0" applyBorder="0" applyProtection="0">
      <alignment horizontal="left"/>
    </xf>
    <xf numFmtId="188" fontId="73" fillId="0" borderId="0" applyFill="0" applyProtection="0">
      <alignment horizontal="left"/>
    </xf>
    <xf numFmtId="0" fontId="74" fillId="0" borderId="0" applyNumberFormat="0" applyFill="0" applyBorder="0" applyProtection="0">
      <alignment horizontal="centerContinuous"/>
    </xf>
    <xf numFmtId="188" fontId="75" fillId="0" borderId="0" applyFill="0" applyProtection="0">
      <alignment horizontal="center"/>
    </xf>
    <xf numFmtId="0" fontId="76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7" fillId="0" borderId="0" applyNumberFormat="0" applyFill="0" applyBorder="0" applyAlignment="0" applyProtection="0"/>
    <xf numFmtId="0" fontId="78" fillId="0" borderId="0"/>
    <xf numFmtId="14" fontId="79" fillId="0" borderId="16">
      <alignment horizontal="centerContinuous"/>
    </xf>
    <xf numFmtId="14" fontId="79" fillId="0" borderId="16">
      <alignment horizontal="center"/>
    </xf>
    <xf numFmtId="192" fontId="80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" fontId="82" fillId="47" borderId="19" applyNumberFormat="0" applyFill="0" applyBorder="0" applyAlignment="0" applyProtection="0">
      <alignment horizontal="center" vertical="center" wrapText="1"/>
      <protection locked="0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76" fillId="0" borderId="0">
      <protection locked="0"/>
    </xf>
    <xf numFmtId="0" fontId="90" fillId="0" borderId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8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70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71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65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7" fillId="68" borderId="0" applyNumberFormat="0" applyBorder="0" applyAlignment="0" applyProtection="0"/>
    <xf numFmtId="0" fontId="87" fillId="70" borderId="0" applyNumberFormat="0" applyBorder="0" applyAlignment="0" applyProtection="0"/>
    <xf numFmtId="0" fontId="87" fillId="71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73" borderId="0" applyNumberFormat="0" applyBorder="0" applyAlignment="0" applyProtection="0"/>
    <xf numFmtId="49" fontId="55" fillId="0" borderId="0"/>
    <xf numFmtId="0" fontId="91" fillId="0" borderId="0">
      <alignment horizontal="center" wrapText="1"/>
      <protection locked="0"/>
    </xf>
    <xf numFmtId="0" fontId="91" fillId="0" borderId="0">
      <alignment horizontal="center" wrapText="1"/>
      <protection locked="0"/>
    </xf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194" fontId="27" fillId="0" borderId="0" applyFont="0" applyFill="0" applyBorder="0" applyAlignment="0" applyProtection="0"/>
    <xf numFmtId="0" fontId="93" fillId="56" borderId="24" applyNumberFormat="0" applyAlignment="0" applyProtection="0"/>
    <xf numFmtId="0" fontId="94" fillId="0" borderId="0" applyNumberFormat="0" applyFill="0" applyBorder="0" applyAlignment="0" applyProtection="0"/>
    <xf numFmtId="195" fontId="95" fillId="74" borderId="25" applyProtection="0"/>
    <xf numFmtId="195" fontId="95" fillId="74" borderId="25" applyProtection="0"/>
    <xf numFmtId="195" fontId="95" fillId="74" borderId="25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7" fillId="56" borderId="26" applyNumberFormat="0" applyAlignment="0" applyProtection="0"/>
    <xf numFmtId="0" fontId="98" fillId="75" borderId="0" applyNumberFormat="0" applyBorder="0" applyAlignment="0"/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3" fontId="83" fillId="0" borderId="27">
      <alignment horizontal="left" vertical="center"/>
    </xf>
    <xf numFmtId="0" fontId="99" fillId="50" borderId="0" applyNumberFormat="0" applyBorder="0" applyAlignment="0" applyProtection="0"/>
    <xf numFmtId="0" fontId="27" fillId="0" borderId="0"/>
    <xf numFmtId="196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97" fillId="56" borderId="26" applyNumberFormat="0" applyAlignment="0" applyProtection="0"/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1" fillId="56" borderId="26" applyNumberFormat="0" applyAlignment="0" applyProtection="0"/>
    <xf numFmtId="169" fontId="83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2" fillId="0" borderId="0"/>
    <xf numFmtId="0" fontId="103" fillId="0" borderId="0"/>
    <xf numFmtId="0" fontId="98" fillId="76" borderId="28" applyNumberFormat="0" applyAlignment="0" applyProtection="0"/>
    <xf numFmtId="0" fontId="104" fillId="0" borderId="29" applyNumberFormat="0" applyFill="0" applyAlignment="0" applyProtection="0"/>
    <xf numFmtId="0" fontId="105" fillId="0" borderId="29" applyNumberFormat="0" applyFill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199" fontId="107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8" fillId="77" borderId="14" applyNumberFormat="0" applyProtection="0">
      <alignment horizontal="center" vertical="center" wrapText="1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63" fillId="78" borderId="0" applyNumberFormat="0">
      <alignment horizontal="center" vertical="top" wrapText="1"/>
    </xf>
    <xf numFmtId="0" fontId="63" fillId="78" borderId="0" applyNumberFormat="0">
      <alignment horizontal="left" vertical="top" wrapText="1"/>
    </xf>
    <xf numFmtId="0" fontId="63" fillId="78" borderId="0" applyNumberFormat="0">
      <alignment horizontal="centerContinuous" vertical="top"/>
    </xf>
    <xf numFmtId="0" fontId="100" fillId="78" borderId="0" applyNumberFormat="0">
      <alignment horizontal="center" vertical="top" wrapText="1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0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5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4" fillId="79" borderId="32" applyNumberFormat="0" applyFont="0" applyAlignment="0" applyProtection="0"/>
    <xf numFmtId="0" fontId="112" fillId="0" borderId="0" applyNumberFormat="0" applyAlignment="0">
      <alignment horizontal="left"/>
    </xf>
    <xf numFmtId="0" fontId="65" fillId="0" borderId="33" applyAlignment="0"/>
    <xf numFmtId="206" fontId="100" fillId="0" borderId="0" applyFont="0" applyFill="0" applyBorder="0" applyAlignment="0" applyProtection="0">
      <alignment vertical="center"/>
    </xf>
    <xf numFmtId="0" fontId="2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0" fillId="0" borderId="0" applyFont="0" applyFill="0" applyBorder="0" applyAlignment="0" applyProtection="0">
      <alignment vertical="center"/>
    </xf>
    <xf numFmtId="209" fontId="100" fillId="0" borderId="0" applyFont="0" applyFill="0" applyBorder="0" applyAlignment="0" applyProtection="0">
      <alignment vertical="center"/>
    </xf>
    <xf numFmtId="210" fontId="100" fillId="0" borderId="0" applyFont="0" applyFill="0" applyBorder="0" applyAlignment="0" applyProtection="0">
      <alignment vertical="center"/>
    </xf>
    <xf numFmtId="211" fontId="100" fillId="0" borderId="0" applyFont="0" applyFill="0" applyBorder="0" applyAlignment="0" applyProtection="0">
      <alignment vertical="center"/>
    </xf>
    <xf numFmtId="212" fontId="100" fillId="0" borderId="0" applyFont="0" applyFill="0" applyBorder="0" applyAlignment="0" applyProtection="0">
      <alignment vertical="center"/>
    </xf>
    <xf numFmtId="213" fontId="100" fillId="0" borderId="0" applyFont="0" applyFill="0" applyBorder="0" applyAlignment="0" applyProtection="0">
      <alignment vertical="center"/>
    </xf>
    <xf numFmtId="214" fontId="100" fillId="0" borderId="0" applyFont="0" applyFill="0" applyBorder="0" applyAlignment="0" applyProtection="0">
      <alignment vertical="center"/>
    </xf>
    <xf numFmtId="215" fontId="100" fillId="0" borderId="0" applyFont="0" applyFill="0" applyBorder="0" applyAlignment="0" applyProtection="0">
      <alignment vertical="center"/>
    </xf>
    <xf numFmtId="216" fontId="100" fillId="0" borderId="0" applyFont="0" applyFill="0" applyBorder="0" applyAlignment="0" applyProtection="0">
      <alignment vertical="center"/>
    </xf>
    <xf numFmtId="217" fontId="100" fillId="0" borderId="0" applyFont="0" applyFill="0" applyBorder="0" applyAlignment="0" applyProtection="0">
      <alignment vertical="center"/>
    </xf>
    <xf numFmtId="218" fontId="100" fillId="0" borderId="0" applyFont="0" applyFill="0" applyBorder="0" applyAlignment="0" applyProtection="0">
      <alignment vertical="center"/>
    </xf>
    <xf numFmtId="219" fontId="100" fillId="0" borderId="0" applyFont="0" applyFill="0" applyBorder="0" applyAlignment="0" applyProtection="0">
      <alignment vertical="center"/>
    </xf>
    <xf numFmtId="0" fontId="113" fillId="53" borderId="26" applyNumberFormat="0" applyAlignment="0" applyProtection="0"/>
    <xf numFmtId="0" fontId="113" fillId="53" borderId="26" applyNumberFormat="0" applyAlignment="0" applyProtection="0"/>
    <xf numFmtId="0" fontId="113" fillId="53" borderId="26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220" fontId="100" fillId="0" borderId="0" applyFont="0" applyFill="0" applyBorder="0" applyAlignment="0" applyProtection="0">
      <alignment vertical="center"/>
    </xf>
    <xf numFmtId="221" fontId="100" fillId="0" borderId="0" applyFont="0" applyFill="0" applyBorder="0" applyAlignment="0" applyProtection="0">
      <alignment vertical="center"/>
    </xf>
    <xf numFmtId="222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14" fontId="86" fillId="0" borderId="0" applyFill="0" applyBorder="0" applyAlignment="0"/>
    <xf numFmtId="220" fontId="100" fillId="0" borderId="0" applyFont="0" applyFill="0" applyBorder="0" applyAlignment="0" applyProtection="0">
      <alignment vertical="center"/>
    </xf>
    <xf numFmtId="14" fontId="27" fillId="0" borderId="17" applyFill="0" applyBorder="0"/>
    <xf numFmtId="223" fontId="27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7" fillId="0" borderId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6" fillId="53" borderId="26" applyNumberFormat="0" applyAlignment="0" applyProtection="0"/>
    <xf numFmtId="0" fontId="118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119" fillId="0" borderId="0" applyFill="0" applyBorder="0" applyAlignment="0"/>
    <xf numFmtId="0" fontId="119" fillId="0" borderId="0" applyFill="0" applyBorder="0" applyAlignment="0"/>
    <xf numFmtId="0" fontId="119" fillId="0" borderId="0" applyFill="0" applyBorder="0" applyAlignment="0"/>
    <xf numFmtId="0" fontId="4" fillId="0" borderId="0" applyFill="0" applyBorder="0" applyAlignment="0"/>
    <xf numFmtId="0" fontId="119" fillId="0" borderId="0" applyFill="0" applyBorder="0" applyAlignment="0"/>
    <xf numFmtId="0" fontId="120" fillId="0" borderId="0" applyNumberFormat="0" applyAlignment="0">
      <alignment horizontal="left"/>
    </xf>
    <xf numFmtId="0" fontId="121" fillId="53" borderId="26" applyNumberFormat="0" applyAlignment="0" applyProtection="0"/>
    <xf numFmtId="0" fontId="96" fillId="53" borderId="26" applyNumberFormat="0" applyAlignment="0" applyProtection="0"/>
    <xf numFmtId="0" fontId="122" fillId="0" borderId="34" applyNumberFormat="0" applyFill="0" applyAlignment="0" applyProtection="0"/>
    <xf numFmtId="0" fontId="123" fillId="0" borderId="0" applyNumberFormat="0" applyFill="0" applyBorder="0" applyAlignment="0" applyProtection="0"/>
    <xf numFmtId="0" fontId="42" fillId="0" borderId="0"/>
    <xf numFmtId="231" fontId="27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234" fontId="125" fillId="0" borderId="0">
      <protection locked="0"/>
    </xf>
    <xf numFmtId="0" fontId="126" fillId="0" borderId="0" applyNumberFormat="0" applyFill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38" fontId="65" fillId="41" borderId="0" applyNumberFormat="0" applyBorder="0" applyAlignment="0" applyProtection="0"/>
    <xf numFmtId="230" fontId="63" fillId="80" borderId="35">
      <alignment horizontal="center" vertical="center" wrapText="1"/>
    </xf>
    <xf numFmtId="1" fontId="61" fillId="81" borderId="36" applyBorder="0">
      <alignment vertical="center"/>
    </xf>
    <xf numFmtId="1" fontId="128" fillId="80" borderId="37" applyBorder="0">
      <alignment vertical="center"/>
    </xf>
    <xf numFmtId="0" fontId="129" fillId="50" borderId="0" applyNumberFormat="0" applyBorder="0" applyAlignment="0" applyProtection="0"/>
    <xf numFmtId="0" fontId="130" fillId="78" borderId="0" applyNumberFormat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horizontal="left" vertical="center"/>
    </xf>
    <xf numFmtId="0" fontId="63" fillId="0" borderId="0" applyNumberFormat="0" applyFill="0" applyBorder="0" applyAlignment="0" applyProtection="0">
      <alignment vertical="center"/>
    </xf>
    <xf numFmtId="235" fontId="134" fillId="0" borderId="0" applyNumberFormat="0" applyFill="0" applyBorder="0" applyProtection="0">
      <alignment horizontal="right"/>
    </xf>
    <xf numFmtId="0" fontId="133" fillId="0" borderId="18" applyNumberFormat="0" applyAlignment="0" applyProtection="0">
      <alignment horizontal="left" vertical="center"/>
    </xf>
    <xf numFmtId="0" fontId="133" fillId="0" borderId="15">
      <alignment horizontal="left" vertical="center"/>
    </xf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36" fontId="138" fillId="0" borderId="0">
      <protection locked="0"/>
    </xf>
    <xf numFmtId="236" fontId="138" fillId="0" borderId="0">
      <protection locked="0"/>
    </xf>
    <xf numFmtId="0" fontId="139" fillId="0" borderId="14">
      <alignment horizontal="center"/>
    </xf>
    <xf numFmtId="0" fontId="139" fillId="0" borderId="0">
      <alignment horizont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92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42" fillId="49" borderId="0" applyNumberFormat="0" applyBorder="0" applyAlignment="0" applyProtection="0"/>
    <xf numFmtId="0" fontId="27" fillId="0" borderId="0" applyNumberFormat="0" applyFill="0" applyBorder="0" applyAlignment="0" applyProtection="0"/>
    <xf numFmtId="10" fontId="65" fillId="43" borderId="19" applyNumberFormat="0" applyBorder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00" fillId="0" borderId="39" applyNumberFormat="0" applyAlignment="0">
      <alignment vertical="center"/>
    </xf>
    <xf numFmtId="195" fontId="144" fillId="83" borderId="0"/>
    <xf numFmtId="0" fontId="100" fillId="0" borderId="40" applyNumberFormat="0" applyAlignment="0">
      <alignment vertical="center"/>
      <protection locked="0"/>
    </xf>
    <xf numFmtId="204" fontId="100" fillId="84" borderId="40" applyNumberFormat="0" applyAlignment="0">
      <alignment vertical="center"/>
      <protection locked="0"/>
    </xf>
    <xf numFmtId="0" fontId="100" fillId="85" borderId="0" applyNumberFormat="0" applyAlignment="0">
      <alignment vertical="center"/>
    </xf>
    <xf numFmtId="0" fontId="100" fillId="86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0" borderId="41" applyNumberFormat="0" applyAlignment="0">
      <alignment vertical="center"/>
      <protection locked="0"/>
    </xf>
    <xf numFmtId="0" fontId="145" fillId="49" borderId="0" applyNumberFormat="0" applyBorder="0" applyAlignment="0" applyProtection="0"/>
    <xf numFmtId="237" fontId="146" fillId="0" borderId="0"/>
    <xf numFmtId="0" fontId="147" fillId="0" borderId="42" applyNumberFormat="0" applyBorder="0" applyAlignment="0" applyProtection="0">
      <alignment horizontal="left"/>
    </xf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09" fillId="0" borderId="0" applyNumberFormat="0" applyFont="0" applyFill="0" applyBorder="0" applyProtection="0">
      <alignment horizontal="left" vertical="center"/>
    </xf>
    <xf numFmtId="230" fontId="150" fillId="0" borderId="0">
      <alignment horizontal="left"/>
    </xf>
    <xf numFmtId="0" fontId="151" fillId="0" borderId="0" applyFill="0" applyBorder="0" applyAlignment="0"/>
    <xf numFmtId="0" fontId="151" fillId="0" borderId="0" applyFill="0" applyBorder="0" applyAlignment="0"/>
    <xf numFmtId="0" fontId="151" fillId="0" borderId="0" applyFill="0" applyBorder="0" applyAlignment="0"/>
    <xf numFmtId="0" fontId="4" fillId="0" borderId="0" applyFill="0" applyBorder="0" applyAlignment="0"/>
    <xf numFmtId="0" fontId="151" fillId="0" borderId="0" applyFill="0" applyBorder="0" applyAlignment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195" fontId="27" fillId="87" borderId="0"/>
    <xf numFmtId="0" fontId="27" fillId="88" borderId="0" applyNumberFormat="0" applyFont="0" applyBorder="0" applyAlignment="0"/>
    <xf numFmtId="238" fontId="27" fillId="89" borderId="43" applyNumberFormat="0" applyFont="0" applyBorder="0" applyAlignment="0"/>
    <xf numFmtId="188" fontId="53" fillId="90" borderId="0" applyFont="0" applyAlignment="0"/>
    <xf numFmtId="239" fontId="152" fillId="0" borderId="0" applyFont="0" applyFill="0" applyBorder="0" applyAlignment="0" applyProtection="0"/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4" fillId="0" borderId="0" applyFill="0" applyBorder="0" applyAlignment="0" applyProtection="0"/>
    <xf numFmtId="243" fontId="154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4" fillId="0" borderId="0" applyFill="0" applyBorder="0" applyAlignment="0" applyProtection="0"/>
    <xf numFmtId="247" fontId="154" fillId="0" borderId="0" applyFill="0" applyBorder="0" applyAlignment="0" applyProtection="0"/>
    <xf numFmtId="40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76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7" fillId="0" borderId="14"/>
    <xf numFmtId="0" fontId="52" fillId="0" borderId="0" applyFont="0" applyFill="0" applyBorder="0" applyAlignment="0" applyProtection="0"/>
    <xf numFmtId="250" fontId="76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2" fillId="0" borderId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9" fillId="0" borderId="0" applyNumberFormat="0" applyFill="0" applyBorder="0" applyProtection="0">
      <alignment horizontal="left"/>
    </xf>
    <xf numFmtId="253" fontId="27" fillId="0" borderId="47" applyBorder="0" applyAlignment="0" applyProtection="0">
      <alignment horizontal="center"/>
    </xf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0" fillId="44" borderId="0" applyNumberFormat="0" applyBorder="0" applyAlignment="0" applyProtection="0"/>
    <xf numFmtId="0" fontId="162" fillId="0" borderId="0"/>
    <xf numFmtId="0" fontId="162" fillId="0" borderId="0"/>
    <xf numFmtId="0" fontId="163" fillId="0" borderId="0"/>
    <xf numFmtId="0" fontId="164" fillId="0" borderId="0" applyNumberFormat="0" applyFont="0" applyFill="0" applyBorder="0" applyAlignment="0" applyProtection="0"/>
    <xf numFmtId="254" fontId="165" fillId="0" borderId="0"/>
    <xf numFmtId="254" fontId="165" fillId="0" borderId="0"/>
    <xf numFmtId="0" fontId="84" fillId="0" borderId="0"/>
    <xf numFmtId="0" fontId="4" fillId="0" borderId="0"/>
    <xf numFmtId="0" fontId="111" fillId="0" borderId="0"/>
    <xf numFmtId="0" fontId="1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 applyNumberFormat="0" applyFont="0" applyFill="0" applyBorder="0" applyAlignment="0" applyProtection="0">
      <alignment vertical="top"/>
    </xf>
    <xf numFmtId="0" fontId="11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1" fillId="0" borderId="0"/>
    <xf numFmtId="0" fontId="100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00" fillId="0" borderId="0">
      <alignment vertical="center"/>
    </xf>
    <xf numFmtId="0" fontId="111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0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4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27" fillId="0" borderId="0"/>
    <xf numFmtId="0" fontId="8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" fillId="0" borderId="0"/>
    <xf numFmtId="0" fontId="111" fillId="0" borderId="0"/>
    <xf numFmtId="0" fontId="111" fillId="0" borderId="0"/>
    <xf numFmtId="0" fontId="40" fillId="0" borderId="0"/>
    <xf numFmtId="0" fontId="41" fillId="0" borderId="0"/>
    <xf numFmtId="0" fontId="41" fillId="0" borderId="0">
      <alignment vertical="center"/>
    </xf>
    <xf numFmtId="0" fontId="4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0" fillId="0" borderId="0">
      <alignment vertical="center"/>
    </xf>
    <xf numFmtId="0" fontId="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27" fillId="0" borderId="0"/>
    <xf numFmtId="0" fontId="4" fillId="0" borderId="0"/>
    <xf numFmtId="0" fontId="42" fillId="0" borderId="0"/>
    <xf numFmtId="0" fontId="111" fillId="0" borderId="0"/>
    <xf numFmtId="0" fontId="4" fillId="0" borderId="0"/>
    <xf numFmtId="0" fontId="111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5" fillId="0" borderId="0"/>
    <xf numFmtId="0" fontId="65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 applyNumberFormat="0" applyFill="0" applyBorder="0" applyAlignment="0" applyProtection="0"/>
    <xf numFmtId="0" fontId="41" fillId="0" borderId="0"/>
    <xf numFmtId="0" fontId="40" fillId="0" borderId="0"/>
    <xf numFmtId="0" fontId="4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111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40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111" fillId="0" borderId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7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27" fillId="0" borderId="0"/>
    <xf numFmtId="0" fontId="7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11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6" fillId="0" borderId="0"/>
    <xf numFmtId="0" fontId="166" fillId="0" borderId="0"/>
    <xf numFmtId="0" fontId="167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9" fillId="0" borderId="0"/>
    <xf numFmtId="0" fontId="42" fillId="0" borderId="0"/>
    <xf numFmtId="0" fontId="109" fillId="0" borderId="0"/>
    <xf numFmtId="0" fontId="2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42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9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9" fillId="0" borderId="0">
      <alignment vertical="top"/>
      <protection locked="0"/>
    </xf>
    <xf numFmtId="0" fontId="4" fillId="0" borderId="0"/>
    <xf numFmtId="0" fontId="11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116" fillId="0" borderId="0"/>
    <xf numFmtId="0" fontId="116" fillId="0" borderId="0"/>
    <xf numFmtId="0" fontId="42" fillId="0" borderId="0"/>
    <xf numFmtId="0" fontId="116" fillId="0" borderId="0"/>
    <xf numFmtId="0" fontId="116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0" fontId="116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16" fillId="0" borderId="0"/>
    <xf numFmtId="0" fontId="4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85" fillId="0" borderId="0"/>
    <xf numFmtId="0" fontId="85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7" fillId="0" borderId="0"/>
    <xf numFmtId="0" fontId="4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5" fillId="0" borderId="0"/>
    <xf numFmtId="0" fontId="85" fillId="0" borderId="0"/>
    <xf numFmtId="0" fontId="4" fillId="0" borderId="0"/>
    <xf numFmtId="0" fontId="4" fillId="0" borderId="0"/>
    <xf numFmtId="0" fontId="4" fillId="0" borderId="0"/>
    <xf numFmtId="0" fontId="168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11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7" fillId="79" borderId="32" applyNumberFormat="0" applyFont="0" applyAlignment="0" applyProtection="0"/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0" fillId="0" borderId="0" applyFont="0" applyFill="0" applyBorder="0" applyAlignment="0" applyProtection="0">
      <alignment vertical="center"/>
    </xf>
    <xf numFmtId="199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0" fontId="169" fillId="56" borderId="26" applyNumberFormat="0" applyAlignment="0" applyProtection="0"/>
    <xf numFmtId="0" fontId="169" fillId="56" borderId="26" applyNumberFormat="0" applyAlignment="0" applyProtection="0"/>
    <xf numFmtId="0" fontId="169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4" fillId="0" borderId="48" applyNumberFormat="0" applyFont="0" applyFill="0" applyProtection="0">
      <alignment vertical="top" wrapText="1"/>
    </xf>
    <xf numFmtId="0" fontId="170" fillId="0" borderId="49" applyNumberFormat="0" applyFont="0" applyBorder="0" applyAlignment="0">
      <alignment horizontal="left" vertical="center"/>
    </xf>
    <xf numFmtId="0" fontId="170" fillId="0" borderId="49" applyNumberFormat="0" applyFont="0" applyBorder="0" applyAlignment="0">
      <alignment vertical="center"/>
    </xf>
    <xf numFmtId="0" fontId="170" fillId="0" borderId="49" applyNumberFormat="0" applyBorder="0" applyAlignment="0">
      <alignment horizontal="left"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257" fontId="95" fillId="74" borderId="50" applyProtection="0"/>
    <xf numFmtId="257" fontId="95" fillId="74" borderId="50" applyProtection="0"/>
    <xf numFmtId="257" fontId="95" fillId="74" borderId="50" applyProtection="0"/>
    <xf numFmtId="14" fontId="91" fillId="0" borderId="0">
      <alignment horizontal="center" wrapText="1"/>
      <protection locked="0"/>
    </xf>
    <xf numFmtId="14" fontId="91" fillId="0" borderId="0">
      <alignment horizontal="center" wrapText="1"/>
      <protection locked="0"/>
    </xf>
    <xf numFmtId="172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5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horizontal="right" vertical="center"/>
    </xf>
    <xf numFmtId="260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0" fontId="171" fillId="0" borderId="0" applyNumberFormat="0" applyBorder="0" applyAlignment="0">
      <protection locked="0"/>
    </xf>
    <xf numFmtId="0" fontId="171" fillId="0" borderId="0" applyNumberFormat="0" applyBorder="0" applyAlignment="0">
      <protection locked="0"/>
    </xf>
    <xf numFmtId="1" fontId="172" fillId="0" borderId="0" applyNumberFormat="0" applyAlignment="0">
      <alignment horizontal="center"/>
    </xf>
    <xf numFmtId="0" fontId="173" fillId="0" borderId="0" applyFont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74" fillId="0" borderId="0" applyFill="0" applyBorder="0" applyAlignment="0"/>
    <xf numFmtId="0" fontId="174" fillId="0" borderId="0" applyFill="0" applyBorder="0" applyAlignment="0"/>
    <xf numFmtId="0" fontId="174" fillId="0" borderId="0" applyFill="0" applyBorder="0" applyAlignment="0"/>
    <xf numFmtId="0" fontId="4" fillId="0" borderId="0" applyFill="0" applyBorder="0" applyAlignment="0"/>
    <xf numFmtId="0" fontId="174" fillId="0" borderId="0" applyFill="0" applyBorder="0" applyAlignment="0"/>
    <xf numFmtId="0" fontId="4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27" fillId="0" borderId="14">
      <alignment horizontal="center"/>
    </xf>
    <xf numFmtId="0" fontId="27" fillId="0" borderId="14">
      <alignment horizontal="center"/>
    </xf>
    <xf numFmtId="3" fontId="52" fillId="0" borderId="0" applyFont="0" applyFill="0" applyBorder="0" applyAlignment="0" applyProtection="0"/>
    <xf numFmtId="0" fontId="52" fillId="92" borderId="0" applyNumberFormat="0" applyFont="0" applyBorder="0" applyAlignment="0" applyProtection="0"/>
    <xf numFmtId="0" fontId="52" fillId="92" borderId="0" applyNumberFormat="0" applyFont="0" applyBorder="0" applyAlignment="0" applyProtection="0"/>
    <xf numFmtId="261" fontId="27" fillId="0" borderId="0" applyFont="0" applyFill="0" applyBorder="0" applyAlignment="0" applyProtection="0"/>
    <xf numFmtId="49" fontId="100" fillId="0" borderId="0">
      <alignment horizontal="right"/>
    </xf>
    <xf numFmtId="0" fontId="175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8" fillId="77" borderId="13" applyNumberFormat="0" applyBorder="0" applyProtection="0">
      <alignment horizontal="left" wrapText="1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63" fillId="0" borderId="0" applyNumberFormat="0" applyFill="0" applyBorder="0">
      <alignment horizontal="left" vertical="center" wrapText="1"/>
    </xf>
    <xf numFmtId="0" fontId="100" fillId="0" borderId="0" applyNumberFormat="0" applyFill="0" applyBorder="0">
      <alignment horizontal="left" vertical="center" wrapText="1" indent="1"/>
    </xf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76" fillId="56" borderId="24" applyNumberFormat="0" applyAlignment="0" applyProtection="0"/>
    <xf numFmtId="4" fontId="177" fillId="44" borderId="53" applyNumberFormat="0" applyProtection="0">
      <alignment vertical="center"/>
    </xf>
    <xf numFmtId="4" fontId="178" fillId="47" borderId="53" applyNumberFormat="0" applyProtection="0">
      <alignment vertical="center"/>
    </xf>
    <xf numFmtId="4" fontId="177" fillId="47" borderId="53" applyNumberFormat="0" applyProtection="0">
      <alignment horizontal="left" vertical="center" indent="1"/>
    </xf>
    <xf numFmtId="0" fontId="177" fillId="47" borderId="53" applyNumberFormat="0" applyProtection="0">
      <alignment horizontal="left" vertical="top" indent="1"/>
    </xf>
    <xf numFmtId="4" fontId="177" fillId="94" borderId="0" applyNumberFormat="0" applyProtection="0">
      <alignment horizontal="left" vertical="center" indent="1"/>
    </xf>
    <xf numFmtId="4" fontId="86" fillId="49" borderId="53" applyNumberFormat="0" applyProtection="0">
      <alignment horizontal="right" vertical="center"/>
    </xf>
    <xf numFmtId="4" fontId="86" fillId="59" borderId="53" applyNumberFormat="0" applyProtection="0">
      <alignment horizontal="right" vertical="center"/>
    </xf>
    <xf numFmtId="4" fontId="86" fillId="70" borderId="53" applyNumberFormat="0" applyProtection="0">
      <alignment horizontal="right" vertical="center"/>
    </xf>
    <xf numFmtId="4" fontId="86" fillId="61" borderId="53" applyNumberFormat="0" applyProtection="0">
      <alignment horizontal="right" vertical="center"/>
    </xf>
    <xf numFmtId="4" fontId="86" fillId="67" borderId="53" applyNumberFormat="0" applyProtection="0">
      <alignment horizontal="right" vertical="center"/>
    </xf>
    <xf numFmtId="4" fontId="86" fillId="73" borderId="53" applyNumberFormat="0" applyProtection="0">
      <alignment horizontal="right" vertical="center"/>
    </xf>
    <xf numFmtId="4" fontId="86" fillId="71" borderId="53" applyNumberFormat="0" applyProtection="0">
      <alignment horizontal="right" vertical="center"/>
    </xf>
    <xf numFmtId="4" fontId="86" fillId="95" borderId="53" applyNumberFormat="0" applyProtection="0">
      <alignment horizontal="right" vertical="center"/>
    </xf>
    <xf numFmtId="4" fontId="86" fillId="60" borderId="53" applyNumberFormat="0" applyProtection="0">
      <alignment horizontal="right" vertical="center"/>
    </xf>
    <xf numFmtId="4" fontId="177" fillId="96" borderId="54" applyNumberFormat="0" applyProtection="0">
      <alignment horizontal="left" vertical="center" indent="1"/>
    </xf>
    <xf numFmtId="4" fontId="86" fillId="97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86" fillId="99" borderId="53" applyNumberFormat="0" applyProtection="0">
      <alignment horizontal="right" vertical="center"/>
    </xf>
    <xf numFmtId="4" fontId="86" fillId="97" borderId="0" applyNumberFormat="0" applyProtection="0">
      <alignment horizontal="left" vertical="center" indent="1"/>
    </xf>
    <xf numFmtId="4" fontId="86" fillId="94" borderId="0" applyNumberFormat="0" applyProtection="0">
      <alignment horizontal="left" vertical="center" indent="1"/>
    </xf>
    <xf numFmtId="0" fontId="27" fillId="98" borderId="53" applyNumberFormat="0" applyProtection="0">
      <alignment horizontal="left" vertical="center" indent="1"/>
    </xf>
    <xf numFmtId="0" fontId="27" fillId="98" borderId="53" applyNumberFormat="0" applyProtection="0">
      <alignment horizontal="left" vertical="top" indent="1"/>
    </xf>
    <xf numFmtId="0" fontId="27" fillId="94" borderId="53" applyNumberFormat="0" applyProtection="0">
      <alignment horizontal="left" vertical="center" indent="1"/>
    </xf>
    <xf numFmtId="0" fontId="27" fillId="94" borderId="53" applyNumberFormat="0" applyProtection="0">
      <alignment horizontal="left" vertical="top" indent="1"/>
    </xf>
    <xf numFmtId="0" fontId="27" fillId="42" borderId="53" applyNumberFormat="0" applyProtection="0">
      <alignment horizontal="left" vertical="center" indent="1"/>
    </xf>
    <xf numFmtId="0" fontId="27" fillId="42" borderId="53" applyNumberFormat="0" applyProtection="0">
      <alignment horizontal="left" vertical="top" indent="1"/>
    </xf>
    <xf numFmtId="0" fontId="27" fillId="78" borderId="53" applyNumberFormat="0" applyProtection="0">
      <alignment horizontal="left" vertical="center" indent="1"/>
    </xf>
    <xf numFmtId="0" fontId="27" fillId="78" borderId="53" applyNumberFormat="0" applyProtection="0">
      <alignment horizontal="left" vertical="top" indent="1"/>
    </xf>
    <xf numFmtId="4" fontId="86" fillId="43" borderId="53" applyNumberFormat="0" applyProtection="0">
      <alignment vertical="center"/>
    </xf>
    <xf numFmtId="4" fontId="180" fillId="43" borderId="53" applyNumberFormat="0" applyProtection="0">
      <alignment vertical="center"/>
    </xf>
    <xf numFmtId="4" fontId="86" fillId="43" borderId="53" applyNumberFormat="0" applyProtection="0">
      <alignment horizontal="left" vertical="center" indent="1"/>
    </xf>
    <xf numFmtId="0" fontId="86" fillId="43" borderId="53" applyNumberFormat="0" applyProtection="0">
      <alignment horizontal="left" vertical="top" indent="1"/>
    </xf>
    <xf numFmtId="4" fontId="86" fillId="97" borderId="53" applyNumberFormat="0" applyProtection="0">
      <alignment horizontal="right" vertical="center"/>
    </xf>
    <xf numFmtId="4" fontId="180" fillId="97" borderId="53" applyNumberFormat="0" applyProtection="0">
      <alignment horizontal="right" vertical="center"/>
    </xf>
    <xf numFmtId="4" fontId="86" fillId="99" borderId="53" applyNumberFormat="0" applyProtection="0">
      <alignment horizontal="left" vertical="center" indent="1"/>
    </xf>
    <xf numFmtId="0" fontId="86" fillId="94" borderId="53" applyNumberFormat="0" applyProtection="0">
      <alignment horizontal="left" vertical="top" indent="1"/>
    </xf>
    <xf numFmtId="4" fontId="181" fillId="83" borderId="0" applyNumberFormat="0" applyProtection="0">
      <alignment horizontal="left" vertical="center" indent="1"/>
    </xf>
    <xf numFmtId="4" fontId="174" fillId="97" borderId="53" applyNumberFormat="0" applyProtection="0">
      <alignment horizontal="right" vertical="center"/>
    </xf>
    <xf numFmtId="0" fontId="27" fillId="0" borderId="0" applyNumberFormat="0" applyFont="0" applyFill="0" applyBorder="0" applyAlignment="0" applyProtection="0"/>
    <xf numFmtId="0" fontId="129" fillId="50" borderId="0" applyNumberFormat="0" applyBorder="0" applyAlignment="0" applyProtection="0"/>
    <xf numFmtId="0" fontId="145" fillId="49" borderId="0" applyNumberFormat="0" applyBorder="0" applyAlignment="0" applyProtection="0"/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49" fontId="183" fillId="100" borderId="55"/>
    <xf numFmtId="49" fontId="183" fillId="100" borderId="0"/>
    <xf numFmtId="0" fontId="184" fillId="7" borderId="55">
      <protection locked="0"/>
    </xf>
    <xf numFmtId="0" fontId="184" fillId="100" borderId="0"/>
    <xf numFmtId="0" fontId="175" fillId="1" borderId="15" applyNumberFormat="0" applyFont="0" applyAlignment="0">
      <alignment horizontal="center"/>
    </xf>
    <xf numFmtId="0" fontId="185" fillId="0" borderId="0" applyNumberFormat="0" applyFill="0" applyBorder="0" applyAlignment="0" applyProtection="0">
      <alignment vertical="top"/>
      <protection locked="0"/>
    </xf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0" fontId="93" fillId="56" borderId="24" applyNumberFormat="0" applyAlignment="0" applyProtection="0"/>
    <xf numFmtId="3" fontId="65" fillId="0" borderId="0"/>
    <xf numFmtId="0" fontId="186" fillId="0" borderId="0" applyNumberFormat="0" applyFill="0" applyBorder="0" applyAlignment="0">
      <alignment horizontal="center"/>
    </xf>
    <xf numFmtId="0" fontId="187" fillId="0" borderId="0"/>
    <xf numFmtId="0" fontId="41" fillId="0" borderId="0"/>
    <xf numFmtId="4" fontId="188" fillId="0" borderId="0"/>
    <xf numFmtId="4" fontId="79" fillId="0" borderId="0">
      <alignment horizontal="center"/>
    </xf>
    <xf numFmtId="0" fontId="189" fillId="0" borderId="0"/>
    <xf numFmtId="0" fontId="1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>
      <alignment vertical="top"/>
    </xf>
    <xf numFmtId="0" fontId="27" fillId="0" borderId="0"/>
    <xf numFmtId="40" fontId="191" fillId="0" borderId="0" applyBorder="0">
      <alignment horizontal="right"/>
    </xf>
    <xf numFmtId="204" fontId="63" fillId="0" borderId="56" applyNumberFormat="0" applyFill="0" applyAlignment="0" applyProtection="0">
      <alignment vertical="center"/>
    </xf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4" fontId="193" fillId="0" borderId="57" applyFill="0" applyProtection="0"/>
    <xf numFmtId="204" fontId="100" fillId="0" borderId="58" applyNumberFormat="0" applyFont="0" applyFill="0" applyAlignment="0" applyProtection="0">
      <alignment vertical="center"/>
    </xf>
    <xf numFmtId="3" fontId="63" fillId="0" borderId="0" applyNumberFormat="0"/>
    <xf numFmtId="0" fontId="100" fillId="41" borderId="0" applyNumberFormat="0" applyFont="0" applyBorder="0" applyAlignment="0" applyProtection="0">
      <alignment vertical="center"/>
    </xf>
    <xf numFmtId="0" fontId="100" fillId="0" borderId="0" applyNumberFormat="0" applyFont="0" applyFill="0" applyAlignment="0" applyProtection="0">
      <alignment vertical="center"/>
    </xf>
    <xf numFmtId="204" fontId="100" fillId="0" borderId="0" applyNumberFormat="0" applyFont="0" applyBorder="0" applyAlignment="0" applyProtection="0">
      <alignment vertical="center"/>
    </xf>
    <xf numFmtId="0" fontId="27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32" fillId="0" borderId="0" applyNumberFormat="0" applyFont="0" applyBorder="0" applyAlignment="0"/>
    <xf numFmtId="49" fontId="100" fillId="0" borderId="0" applyFont="0" applyFill="0" applyBorder="0" applyAlignment="0" applyProtection="0">
      <alignment horizontal="center" vertical="center"/>
    </xf>
    <xf numFmtId="4" fontId="196" fillId="0" borderId="0">
      <alignment horizontal="left"/>
    </xf>
    <xf numFmtId="49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5" fillId="0" borderId="59" applyNumberFormat="0" applyBorder="0" applyAlignment="0"/>
    <xf numFmtId="0" fontId="12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3" fontId="199" fillId="0" borderId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4" fillId="0" borderId="44" applyNumberFormat="0" applyFill="0" applyAlignment="0" applyProtection="0"/>
    <xf numFmtId="0" fontId="205" fillId="0" borderId="45" applyNumberFormat="0" applyFill="0" applyAlignment="0" applyProtection="0"/>
    <xf numFmtId="0" fontId="118" fillId="0" borderId="46" applyNumberFormat="0" applyFill="0" applyAlignment="0" applyProtection="0"/>
    <xf numFmtId="0" fontId="206" fillId="0" borderId="0" applyNumberFormat="0" applyFill="0" applyBorder="0" applyAlignment="0" applyProtection="0"/>
    <xf numFmtId="0" fontId="63" fillId="0" borderId="15">
      <alignment horizontal="right" wrapText="1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0" fontId="122" fillId="0" borderId="34" applyNumberFormat="0" applyFill="0" applyAlignment="0" applyProtection="0"/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78" borderId="0" applyNumberFormat="0" applyAlignment="0" applyProtection="0">
      <alignment vertical="center"/>
    </xf>
    <xf numFmtId="0" fontId="207" fillId="0" borderId="14" applyNumberFormat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100" fillId="0" borderId="0" applyNumberFormat="0" applyFont="0" applyBorder="0" applyAlignment="0" applyProtection="0">
      <alignment vertical="center"/>
    </xf>
    <xf numFmtId="0" fontId="100" fillId="0" borderId="0" applyNumberFormat="0" applyFont="0" applyAlignment="0" applyProtection="0">
      <alignment vertical="center"/>
    </xf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106" fillId="76" borderId="28" applyNumberFormat="0" applyAlignment="0" applyProtection="0"/>
    <xf numFmtId="0" fontId="105" fillId="0" borderId="29" applyNumberFormat="0" applyFill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209" fillId="0" borderId="0" applyNumberFormat="0" applyFont="0" applyFill="0" applyBorder="0" applyProtection="0">
      <alignment horizontal="center" vertical="center" wrapText="1"/>
    </xf>
    <xf numFmtId="265" fontId="27" fillId="0" borderId="0" applyBorder="0" applyProtection="0"/>
    <xf numFmtId="4" fontId="79" fillId="0" borderId="0"/>
    <xf numFmtId="265" fontId="27" fillId="0" borderId="0" applyBorder="0"/>
    <xf numFmtId="0" fontId="210" fillId="0" borderId="49" applyNumberFormat="0" applyFont="0" applyBorder="0" applyAlignment="0">
      <alignment horizontal="left" vertical="center"/>
    </xf>
    <xf numFmtId="0" fontId="106" fillId="76" borderId="28" applyNumberFormat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7" fillId="0" borderId="0"/>
    <xf numFmtId="241" fontId="212" fillId="0" borderId="0" applyFont="0" applyFill="0" applyBorder="0" applyAlignment="0" applyProtection="0"/>
    <xf numFmtId="0" fontId="27" fillId="0" borderId="0"/>
    <xf numFmtId="0" fontId="1" fillId="0" borderId="0"/>
    <xf numFmtId="0" fontId="40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19" fillId="0" borderId="0">
      <alignment vertical="top"/>
      <protection locked="0"/>
    </xf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9" fillId="0" borderId="0">
      <alignment vertical="top"/>
      <protection locked="0"/>
    </xf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7" fillId="0" borderId="0"/>
    <xf numFmtId="164" fontId="1" fillId="0" borderId="0" applyFont="0" applyFill="0" applyBorder="0" applyAlignment="0" applyProtection="0"/>
    <xf numFmtId="0" fontId="4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129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0" fontId="16" fillId="0" borderId="0" xfId="0" applyFont="1"/>
    <xf numFmtId="0" fontId="17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7" fillId="2" borderId="0" xfId="0" applyNumberFormat="1" applyFont="1" applyFill="1" applyAlignment="1">
      <alignment horizontal="right"/>
    </xf>
    <xf numFmtId="3" fontId="17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3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4" fillId="0" borderId="0" xfId="0" applyFont="1"/>
    <xf numFmtId="4" fontId="17" fillId="0" borderId="0" xfId="0" applyNumberFormat="1" applyFont="1"/>
    <xf numFmtId="3" fontId="13" fillId="5" borderId="0" xfId="3" applyNumberFormat="1" applyFont="1" applyFill="1" applyAlignment="1">
      <alignment vertical="center" wrapText="1"/>
    </xf>
    <xf numFmtId="3" fontId="13" fillId="3" borderId="0" xfId="3" applyNumberFormat="1" applyFont="1" applyFill="1" applyAlignment="1">
      <alignment vertical="center" wrapText="1"/>
    </xf>
    <xf numFmtId="3" fontId="13" fillId="3" borderId="0" xfId="4" applyNumberFormat="1" applyFont="1" applyFill="1" applyAlignment="1">
      <alignment horizontal="right" vertical="center" wrapText="1"/>
    </xf>
    <xf numFmtId="3" fontId="12" fillId="4" borderId="0" xfId="4" applyNumberFormat="1" applyFont="1" applyFill="1" applyAlignment="1">
      <alignment horizontal="right" vertical="center" wrapText="1"/>
    </xf>
    <xf numFmtId="3" fontId="13" fillId="3" borderId="0" xfId="0" applyNumberFormat="1" applyFont="1" applyFill="1" applyAlignment="1">
      <alignment vertical="center" wrapText="1"/>
    </xf>
    <xf numFmtId="3" fontId="15" fillId="3" borderId="0" xfId="0" applyNumberFormat="1" applyFont="1" applyFill="1" applyAlignment="1">
      <alignment vertical="center" wrapText="1"/>
    </xf>
    <xf numFmtId="3" fontId="13" fillId="3" borderId="60" xfId="4" applyNumberFormat="1" applyFont="1" applyFill="1" applyBorder="1" applyAlignment="1">
      <alignment horizontal="left" vertical="center" wrapText="1"/>
    </xf>
    <xf numFmtId="3" fontId="13" fillId="3" borderId="60" xfId="4" applyNumberFormat="1" applyFont="1" applyFill="1" applyBorder="1" applyAlignment="1">
      <alignment horizontal="right" vertical="center" wrapText="1"/>
    </xf>
    <xf numFmtId="3" fontId="12" fillId="4" borderId="60" xfId="4" applyNumberFormat="1" applyFont="1" applyFill="1" applyBorder="1" applyAlignment="1">
      <alignment horizontal="left" vertical="center" wrapText="1"/>
    </xf>
    <xf numFmtId="3" fontId="12" fillId="4" borderId="60" xfId="4" applyNumberFormat="1" applyFont="1" applyFill="1" applyBorder="1" applyAlignment="1">
      <alignment horizontal="right" vertical="center" wrapText="1"/>
    </xf>
    <xf numFmtId="3" fontId="12" fillId="2" borderId="60" xfId="4" applyNumberFormat="1" applyFont="1" applyFill="1" applyBorder="1" applyAlignment="1">
      <alignment horizontal="right" vertical="center" wrapText="1"/>
    </xf>
    <xf numFmtId="3" fontId="12" fillId="3" borderId="0" xfId="2" applyNumberFormat="1" applyFont="1" applyFill="1" applyAlignment="1">
      <alignment vertical="center" wrapText="1"/>
    </xf>
    <xf numFmtId="165" fontId="12" fillId="2" borderId="0" xfId="2" applyNumberFormat="1" applyFont="1" applyFill="1" applyAlignment="1">
      <alignment horizontal="right" vertical="center" wrapText="1"/>
    </xf>
    <xf numFmtId="165" fontId="12" fillId="2" borderId="0" xfId="2" applyNumberFormat="1" applyFont="1" applyFill="1" applyAlignment="1">
      <alignment vertical="center" wrapText="1"/>
    </xf>
    <xf numFmtId="3" fontId="12" fillId="2" borderId="0" xfId="2" applyNumberFormat="1" applyFont="1" applyFill="1" applyAlignment="1">
      <alignment horizontal="right" vertical="center" wrapText="1"/>
    </xf>
    <xf numFmtId="0" fontId="11" fillId="0" borderId="0" xfId="40716" applyFont="1"/>
    <xf numFmtId="0" fontId="217" fillId="9" borderId="3" xfId="40716" applyFont="1" applyFill="1" applyBorder="1" applyAlignment="1">
      <alignment horizontal="center" vertical="center" wrapText="1"/>
    </xf>
    <xf numFmtId="0" fontId="14" fillId="5" borderId="0" xfId="40716" applyFont="1" applyFill="1"/>
    <xf numFmtId="0" fontId="11" fillId="5" borderId="0" xfId="40716" applyFont="1" applyFill="1"/>
    <xf numFmtId="0" fontId="14" fillId="0" borderId="0" xfId="40716" applyFont="1"/>
    <xf numFmtId="3" fontId="14" fillId="0" borderId="0" xfId="40716" applyNumberFormat="1" applyFont="1"/>
    <xf numFmtId="3" fontId="11" fillId="0" borderId="0" xfId="40716" applyNumberFormat="1" applyFont="1"/>
    <xf numFmtId="3" fontId="11" fillId="5" borderId="0" xfId="40716" applyNumberFormat="1" applyFont="1" applyFill="1"/>
    <xf numFmtId="0" fontId="218" fillId="0" borderId="0" xfId="0" applyFont="1"/>
    <xf numFmtId="0" fontId="219" fillId="9" borderId="3" xfId="0" applyFont="1" applyFill="1" applyBorder="1" applyAlignment="1">
      <alignment horizontal="center" vertical="center" wrapText="1"/>
    </xf>
    <xf numFmtId="0" fontId="218" fillId="0" borderId="0" xfId="0" applyFont="1" applyAlignment="1">
      <alignment horizontal="center"/>
    </xf>
    <xf numFmtId="0" fontId="220" fillId="0" borderId="0" xfId="0" applyFont="1"/>
    <xf numFmtId="3" fontId="220" fillId="0" borderId="0" xfId="0" applyNumberFormat="1" applyFont="1"/>
    <xf numFmtId="3" fontId="218" fillId="0" borderId="0" xfId="0" applyNumberFormat="1" applyFont="1"/>
    <xf numFmtId="10" fontId="218" fillId="0" borderId="0" xfId="41906" applyNumberFormat="1" applyFont="1"/>
    <xf numFmtId="10" fontId="218" fillId="0" borderId="0" xfId="0" applyNumberFormat="1" applyFont="1"/>
    <xf numFmtId="10" fontId="218" fillId="0" borderId="0" xfId="41906" applyNumberFormat="1" applyFont="1" applyFill="1"/>
    <xf numFmtId="3" fontId="221" fillId="4" borderId="60" xfId="4" applyNumberFormat="1" applyFont="1" applyFill="1" applyBorder="1" applyAlignment="1">
      <alignment horizontal="left" vertical="center" wrapText="1"/>
    </xf>
    <xf numFmtId="0" fontId="221" fillId="0" borderId="0" xfId="1525" applyFont="1" applyAlignment="1">
      <alignment vertical="center" wrapText="1"/>
    </xf>
    <xf numFmtId="0" fontId="0" fillId="0" borderId="0" xfId="0" applyAlignment="1">
      <alignment vertical="center"/>
    </xf>
    <xf numFmtId="0" fontId="13" fillId="0" borderId="0" xfId="1525" applyFont="1" applyAlignment="1">
      <alignment vertical="center" wrapText="1"/>
    </xf>
    <xf numFmtId="0" fontId="12" fillId="0" borderId="0" xfId="1525" applyFont="1" applyAlignment="1">
      <alignment vertical="center" wrapText="1"/>
    </xf>
    <xf numFmtId="0" fontId="12" fillId="7" borderId="0" xfId="4" applyFont="1" applyFill="1" applyAlignment="1">
      <alignment horizontal="left"/>
    </xf>
    <xf numFmtId="0" fontId="215" fillId="9" borderId="60" xfId="4" applyFont="1" applyFill="1" applyBorder="1" applyAlignment="1">
      <alignment vertical="center"/>
    </xf>
    <xf numFmtId="16" fontId="0" fillId="0" borderId="0" xfId="0" applyNumberFormat="1"/>
    <xf numFmtId="16" fontId="10" fillId="0" borderId="0" xfId="0" applyNumberFormat="1" applyFont="1"/>
    <xf numFmtId="0" fontId="14" fillId="0" borderId="0" xfId="40716" applyFont="1" applyAlignment="1"/>
  </cellXfs>
  <cellStyles count="41907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" xfId="41906" builtinId="5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32289/Desktop/Banki%20-%20dane%20rynkowe/mBank/IVQ%202020/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F59"/>
  <sheetViews>
    <sheetView tabSelected="1" zoomScaleNormal="100" workbookViewId="0">
      <pane xSplit="2" topLeftCell="C1" activePane="topRight" state="frozen"/>
      <selection pane="topRight" activeCell="B4" sqref="B4"/>
    </sheetView>
  </sheetViews>
  <sheetFormatPr defaultColWidth="9.28515625" defaultRowHeight="13.2"/>
  <cols>
    <col min="1" max="1" width="21" style="6" customWidth="1"/>
    <col min="2" max="2" width="56.42578125" style="7" bestFit="1" customWidth="1"/>
    <col min="3" max="3" width="9.140625" style="8" bestFit="1" customWidth="1"/>
    <col min="4" max="4" width="8.85546875" style="8" bestFit="1" customWidth="1"/>
    <col min="5" max="5" width="9.140625" style="8" bestFit="1" customWidth="1"/>
    <col min="6" max="6" width="8.85546875" style="8" bestFit="1" customWidth="1"/>
    <col min="7" max="7" width="9.140625" style="8" bestFit="1" customWidth="1"/>
    <col min="8" max="8" width="8.85546875" style="8" bestFit="1" customWidth="1"/>
    <col min="9" max="9" width="9.140625" style="8" bestFit="1" customWidth="1"/>
    <col min="10" max="10" width="8.85546875" style="8" bestFit="1" customWidth="1"/>
    <col min="11" max="11" width="9.140625" style="8" bestFit="1" customWidth="1"/>
    <col min="12" max="12" width="8.85546875" style="8" bestFit="1" customWidth="1"/>
    <col min="13" max="13" width="9.140625" style="8" bestFit="1" customWidth="1"/>
    <col min="14" max="15" width="8.85546875" style="8" bestFit="1" customWidth="1"/>
    <col min="16" max="16" width="9.140625" style="8" bestFit="1" customWidth="1"/>
    <col min="17" max="17" width="8.85546875" style="8" bestFit="1" customWidth="1"/>
    <col min="18" max="18" width="9.140625" style="8" bestFit="1" customWidth="1"/>
    <col min="19" max="19" width="8.85546875" style="8" bestFit="1" customWidth="1"/>
    <col min="20" max="20" width="9.140625" style="8" bestFit="1" customWidth="1"/>
    <col min="21" max="21" width="8.85546875" style="8" bestFit="1" customWidth="1"/>
    <col min="22" max="22" width="12.42578125" style="8" bestFit="1" customWidth="1"/>
    <col min="23" max="26" width="8.85546875" style="8" bestFit="1" customWidth="1"/>
    <col min="27" max="27" width="8.85546875" style="84" bestFit="1" customWidth="1"/>
    <col min="28" max="29" width="9.140625" style="7" bestFit="1" customWidth="1"/>
    <col min="30" max="16384" width="9.28515625" style="7"/>
  </cols>
  <sheetData>
    <row r="1" spans="1:32" ht="13.8" thickBot="1">
      <c r="C1" s="111" t="s">
        <v>416</v>
      </c>
      <c r="D1" s="111" t="s">
        <v>417</v>
      </c>
      <c r="E1" s="111" t="s">
        <v>418</v>
      </c>
      <c r="F1" s="111" t="s">
        <v>419</v>
      </c>
      <c r="G1" s="111" t="s">
        <v>420</v>
      </c>
      <c r="H1" s="111" t="s">
        <v>421</v>
      </c>
      <c r="I1" s="111" t="s">
        <v>422</v>
      </c>
      <c r="J1" s="111" t="s">
        <v>423</v>
      </c>
      <c r="K1" s="111" t="s">
        <v>424</v>
      </c>
      <c r="L1" s="111" t="s">
        <v>425</v>
      </c>
      <c r="M1" s="111" t="s">
        <v>426</v>
      </c>
      <c r="N1" s="111" t="s">
        <v>427</v>
      </c>
      <c r="O1" s="111" t="s">
        <v>428</v>
      </c>
      <c r="P1" s="111" t="s">
        <v>429</v>
      </c>
      <c r="Q1" s="111" t="s">
        <v>430</v>
      </c>
      <c r="R1" s="111" t="s">
        <v>431</v>
      </c>
      <c r="S1" s="111" t="s">
        <v>432</v>
      </c>
      <c r="T1" s="111" t="s">
        <v>433</v>
      </c>
      <c r="U1" s="111" t="s">
        <v>434</v>
      </c>
      <c r="V1" s="111" t="s">
        <v>435</v>
      </c>
      <c r="W1" s="111" t="s">
        <v>436</v>
      </c>
      <c r="X1" s="111" t="s">
        <v>437</v>
      </c>
      <c r="Y1" s="111" t="s">
        <v>438</v>
      </c>
      <c r="Z1" s="111" t="s">
        <v>439</v>
      </c>
      <c r="AA1" s="111" t="s">
        <v>440</v>
      </c>
      <c r="AB1" s="111" t="s">
        <v>441</v>
      </c>
      <c r="AC1" s="111" t="s">
        <v>442</v>
      </c>
      <c r="AD1" s="111" t="s">
        <v>472</v>
      </c>
      <c r="AE1" s="111" t="s">
        <v>501</v>
      </c>
      <c r="AF1" s="111" t="s">
        <v>503</v>
      </c>
    </row>
    <row r="2" spans="1:32" s="6" customFormat="1" ht="24" customHeight="1" thickBot="1">
      <c r="A2" s="6" t="s">
        <v>163</v>
      </c>
      <c r="B2" s="5" t="s">
        <v>37</v>
      </c>
      <c r="C2" s="111" t="s">
        <v>443</v>
      </c>
      <c r="D2" s="111" t="s">
        <v>444</v>
      </c>
      <c r="E2" s="111" t="s">
        <v>445</v>
      </c>
      <c r="F2" s="111" t="s">
        <v>446</v>
      </c>
      <c r="G2" s="111" t="s">
        <v>447</v>
      </c>
      <c r="H2" s="111" t="s">
        <v>448</v>
      </c>
      <c r="I2" s="111" t="s">
        <v>449</v>
      </c>
      <c r="J2" s="111" t="s">
        <v>450</v>
      </c>
      <c r="K2" s="111" t="s">
        <v>451</v>
      </c>
      <c r="L2" s="111" t="s">
        <v>452</v>
      </c>
      <c r="M2" s="111" t="s">
        <v>453</v>
      </c>
      <c r="N2" s="111" t="s">
        <v>454</v>
      </c>
      <c r="O2" s="111" t="s">
        <v>455</v>
      </c>
      <c r="P2" s="111" t="s">
        <v>456</v>
      </c>
      <c r="Q2" s="111" t="s">
        <v>457</v>
      </c>
      <c r="R2" s="111" t="s">
        <v>458</v>
      </c>
      <c r="S2" s="111" t="s">
        <v>459</v>
      </c>
      <c r="T2" s="111" t="s">
        <v>460</v>
      </c>
      <c r="U2" s="111" t="s">
        <v>461</v>
      </c>
      <c r="V2" s="111" t="s">
        <v>462</v>
      </c>
      <c r="W2" s="111" t="s">
        <v>463</v>
      </c>
      <c r="X2" s="111" t="s">
        <v>464</v>
      </c>
      <c r="Y2" s="111" t="s">
        <v>465</v>
      </c>
      <c r="Z2" s="111" t="s">
        <v>466</v>
      </c>
      <c r="AA2" s="111" t="s">
        <v>467</v>
      </c>
      <c r="AB2" s="111" t="s">
        <v>468</v>
      </c>
      <c r="AC2" s="111" t="s">
        <v>469</v>
      </c>
      <c r="AD2" s="111" t="s">
        <v>471</v>
      </c>
      <c r="AE2" s="111" t="s">
        <v>502</v>
      </c>
      <c r="AF2" s="111" t="s">
        <v>502</v>
      </c>
    </row>
    <row r="3" spans="1:32" s="6" customFormat="1" ht="11.4">
      <c r="A3" s="9" t="s">
        <v>322</v>
      </c>
      <c r="B3" s="13" t="s">
        <v>323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5">
        <v>1439945</v>
      </c>
      <c r="P3" s="14">
        <v>1480368</v>
      </c>
      <c r="Q3" s="15">
        <v>2189297</v>
      </c>
      <c r="R3" s="14">
        <v>2078638</v>
      </c>
      <c r="S3" s="15">
        <v>1337436</v>
      </c>
      <c r="T3" s="14">
        <v>1786149</v>
      </c>
      <c r="U3" s="15">
        <v>946753</v>
      </c>
      <c r="V3" s="22">
        <v>1379127</v>
      </c>
      <c r="W3" s="15">
        <v>1960949</v>
      </c>
      <c r="X3" s="22">
        <v>1128515</v>
      </c>
      <c r="Y3" s="15">
        <v>1636919</v>
      </c>
      <c r="Z3" s="22">
        <v>2459901</v>
      </c>
      <c r="AA3" s="15">
        <v>2163566</v>
      </c>
      <c r="AB3" s="16">
        <v>1566372</v>
      </c>
      <c r="AC3" s="99">
        <v>1645316</v>
      </c>
      <c r="AD3" s="16">
        <v>3763391</v>
      </c>
      <c r="AE3" s="99">
        <v>4989857</v>
      </c>
      <c r="AF3" s="16">
        <v>4940224</v>
      </c>
    </row>
    <row r="4" spans="1:32" s="6" customFormat="1" ht="12" thickBot="1">
      <c r="A4" s="10" t="s">
        <v>158</v>
      </c>
      <c r="B4" s="13" t="s">
        <v>20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5">
        <v>1127806</v>
      </c>
      <c r="P4" s="14">
        <v>742611</v>
      </c>
      <c r="Q4" s="15">
        <v>844168</v>
      </c>
      <c r="R4" s="14">
        <v>172839</v>
      </c>
      <c r="S4" s="15">
        <v>508103</v>
      </c>
      <c r="T4" s="14">
        <v>998666</v>
      </c>
      <c r="U4" s="15">
        <v>2944993</v>
      </c>
      <c r="V4" s="22">
        <v>212885</v>
      </c>
      <c r="W4" s="15">
        <v>276081</v>
      </c>
      <c r="X4" s="22">
        <v>290545</v>
      </c>
      <c r="Y4" s="15">
        <v>330542</v>
      </c>
      <c r="Z4" s="22">
        <v>508371</v>
      </c>
      <c r="AA4" s="15">
        <v>400453</v>
      </c>
      <c r="AB4" s="16">
        <v>607334</v>
      </c>
      <c r="AC4" s="99">
        <v>629025</v>
      </c>
      <c r="AD4" s="16">
        <v>1689779</v>
      </c>
      <c r="AE4" s="99">
        <v>2244628</v>
      </c>
      <c r="AF4" s="16">
        <v>2874190</v>
      </c>
    </row>
    <row r="5" spans="1:32" s="6" customFormat="1" ht="12" thickBot="1">
      <c r="A5" s="9" t="s">
        <v>507</v>
      </c>
      <c r="B5" s="13" t="s">
        <v>508</v>
      </c>
      <c r="C5" s="14">
        <v>3019245</v>
      </c>
      <c r="D5" s="18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5">
        <v>13410165</v>
      </c>
      <c r="P5" s="14">
        <v>12880942</v>
      </c>
      <c r="Q5" s="15">
        <v>12121684</v>
      </c>
      <c r="R5" s="14">
        <v>13727570</v>
      </c>
      <c r="S5" s="15">
        <v>14030865</v>
      </c>
      <c r="T5" s="14">
        <v>14110362</v>
      </c>
      <c r="U5" s="15">
        <v>12707488</v>
      </c>
      <c r="V5" s="98">
        <v>15798674</v>
      </c>
      <c r="W5" s="15">
        <f>SUM(W6:W8)</f>
        <v>14197506</v>
      </c>
      <c r="X5" s="98">
        <v>16756828</v>
      </c>
      <c r="Y5" s="15">
        <v>15062147</v>
      </c>
      <c r="Z5" s="98">
        <v>15744672</v>
      </c>
      <c r="AA5" s="15">
        <v>17367267</v>
      </c>
      <c r="AB5" s="14">
        <v>16507815</v>
      </c>
      <c r="AC5" s="100">
        <v>14472487</v>
      </c>
      <c r="AD5" s="14">
        <v>16099658</v>
      </c>
      <c r="AE5" s="100">
        <v>12325102</v>
      </c>
      <c r="AF5" s="14">
        <v>12571158</v>
      </c>
    </row>
    <row r="6" spans="1:32" s="6" customFormat="1" ht="11.4">
      <c r="A6" s="9" t="s">
        <v>160</v>
      </c>
      <c r="B6" s="13" t="s">
        <v>41</v>
      </c>
      <c r="C6" s="16" t="s">
        <v>100</v>
      </c>
      <c r="D6" s="19" t="s">
        <v>100</v>
      </c>
      <c r="E6" s="16" t="s">
        <v>100</v>
      </c>
      <c r="F6" s="19" t="s">
        <v>100</v>
      </c>
      <c r="G6" s="16" t="s">
        <v>100</v>
      </c>
      <c r="H6" s="19" t="s">
        <v>100</v>
      </c>
      <c r="I6" s="16" t="s">
        <v>100</v>
      </c>
      <c r="J6" s="19" t="s">
        <v>100</v>
      </c>
      <c r="K6" s="16" t="s">
        <v>100</v>
      </c>
      <c r="L6" s="19" t="s">
        <v>100</v>
      </c>
      <c r="M6" s="16" t="s">
        <v>100</v>
      </c>
      <c r="N6" s="19" t="s">
        <v>100</v>
      </c>
      <c r="O6" s="15">
        <v>8860222</v>
      </c>
      <c r="P6" s="14">
        <v>8124256</v>
      </c>
      <c r="Q6" s="15">
        <v>6743698</v>
      </c>
      <c r="R6" s="14">
        <v>7280080</v>
      </c>
      <c r="S6" s="15">
        <v>7727692</v>
      </c>
      <c r="T6" s="14">
        <v>8059939</v>
      </c>
      <c r="U6" s="15">
        <v>6950111</v>
      </c>
      <c r="V6" s="98">
        <v>10438695</v>
      </c>
      <c r="W6" s="15">
        <v>9123148</v>
      </c>
      <c r="X6" s="98">
        <v>9100632</v>
      </c>
      <c r="Y6" s="15">
        <v>5813075</v>
      </c>
      <c r="Z6" s="98">
        <v>6983904</v>
      </c>
      <c r="AA6" s="15">
        <v>8957455</v>
      </c>
      <c r="AB6" s="14">
        <v>8738837</v>
      </c>
      <c r="AC6" s="100">
        <v>7384497</v>
      </c>
      <c r="AD6" s="14">
        <v>9265445</v>
      </c>
      <c r="AE6" s="100">
        <v>7195661</v>
      </c>
      <c r="AF6" s="14">
        <v>7488436</v>
      </c>
    </row>
    <row r="7" spans="1:32" s="6" customFormat="1" ht="11.4">
      <c r="A7" s="9" t="s">
        <v>161</v>
      </c>
      <c r="B7" s="13" t="s">
        <v>42</v>
      </c>
      <c r="C7" s="16" t="s">
        <v>100</v>
      </c>
      <c r="D7" s="19" t="s">
        <v>100</v>
      </c>
      <c r="E7" s="16" t="s">
        <v>100</v>
      </c>
      <c r="F7" s="19" t="s">
        <v>100</v>
      </c>
      <c r="G7" s="16" t="s">
        <v>100</v>
      </c>
      <c r="H7" s="19" t="s">
        <v>100</v>
      </c>
      <c r="I7" s="16" t="s">
        <v>100</v>
      </c>
      <c r="J7" s="19" t="s">
        <v>100</v>
      </c>
      <c r="K7" s="16" t="s">
        <v>100</v>
      </c>
      <c r="L7" s="19" t="s">
        <v>100</v>
      </c>
      <c r="M7" s="16" t="s">
        <v>100</v>
      </c>
      <c r="N7" s="19" t="s">
        <v>100</v>
      </c>
      <c r="O7" s="15">
        <v>658316</v>
      </c>
      <c r="P7" s="14">
        <v>702996</v>
      </c>
      <c r="Q7" s="15">
        <v>655410</v>
      </c>
      <c r="R7" s="14">
        <v>515138</v>
      </c>
      <c r="S7" s="15">
        <v>614547</v>
      </c>
      <c r="T7" s="14">
        <v>559550</v>
      </c>
      <c r="U7" s="15">
        <v>681790</v>
      </c>
      <c r="V7" s="98">
        <v>543925</v>
      </c>
      <c r="W7" s="15">
        <v>631166</v>
      </c>
      <c r="X7" s="98">
        <v>517728</v>
      </c>
      <c r="Y7" s="15">
        <v>729604</v>
      </c>
      <c r="Z7" s="98">
        <v>594926</v>
      </c>
      <c r="AA7" s="15">
        <v>474097</v>
      </c>
      <c r="AB7" s="14">
        <v>399555</v>
      </c>
      <c r="AC7" s="100">
        <v>373762</v>
      </c>
      <c r="AD7" s="14">
        <v>382900</v>
      </c>
      <c r="AE7" s="100">
        <v>669954</v>
      </c>
      <c r="AF7" s="14">
        <v>585415</v>
      </c>
    </row>
    <row r="8" spans="1:32" s="6" customFormat="1" ht="11.4">
      <c r="A8" s="9" t="s">
        <v>162</v>
      </c>
      <c r="B8" s="13" t="s">
        <v>43</v>
      </c>
      <c r="C8" s="16" t="s">
        <v>100</v>
      </c>
      <c r="D8" s="19" t="s">
        <v>100</v>
      </c>
      <c r="E8" s="16" t="s">
        <v>100</v>
      </c>
      <c r="F8" s="19" t="s">
        <v>100</v>
      </c>
      <c r="G8" s="16" t="s">
        <v>100</v>
      </c>
      <c r="H8" s="19" t="s">
        <v>100</v>
      </c>
      <c r="I8" s="16" t="s">
        <v>100</v>
      </c>
      <c r="J8" s="19" t="s">
        <v>100</v>
      </c>
      <c r="K8" s="16" t="s">
        <v>100</v>
      </c>
      <c r="L8" s="19" t="s">
        <v>100</v>
      </c>
      <c r="M8" s="16" t="s">
        <v>100</v>
      </c>
      <c r="N8" s="19" t="s">
        <v>100</v>
      </c>
      <c r="O8" s="15">
        <v>3891627</v>
      </c>
      <c r="P8" s="14">
        <v>4053690</v>
      </c>
      <c r="Q8" s="15">
        <v>4722576</v>
      </c>
      <c r="R8" s="14">
        <v>5932352</v>
      </c>
      <c r="S8" s="15">
        <v>5688626</v>
      </c>
      <c r="T8" s="14">
        <v>5490873</v>
      </c>
      <c r="U8" s="15">
        <v>5075587</v>
      </c>
      <c r="V8" s="98">
        <v>4816054</v>
      </c>
      <c r="W8" s="15">
        <v>4443192</v>
      </c>
      <c r="X8" s="98">
        <v>7138468</v>
      </c>
      <c r="Y8" s="15">
        <v>8519468</v>
      </c>
      <c r="Z8" s="98">
        <v>8165842</v>
      </c>
      <c r="AA8" s="15">
        <v>7935715</v>
      </c>
      <c r="AB8" s="14">
        <v>7369423</v>
      </c>
      <c r="AC8" s="100">
        <v>6714228</v>
      </c>
      <c r="AD8" s="14">
        <v>6451313</v>
      </c>
      <c r="AE8" s="100">
        <v>4459487</v>
      </c>
      <c r="AF8" s="14">
        <v>4497307</v>
      </c>
    </row>
    <row r="9" spans="1:32" s="6" customFormat="1" ht="11.4">
      <c r="A9" s="6" t="s">
        <v>195</v>
      </c>
      <c r="B9" s="13" t="s">
        <v>57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9" t="s">
        <v>100</v>
      </c>
      <c r="P9" s="16" t="s">
        <v>100</v>
      </c>
      <c r="Q9" s="19" t="s">
        <v>100</v>
      </c>
      <c r="R9" s="16" t="s">
        <v>100</v>
      </c>
      <c r="S9" s="19" t="s">
        <v>100</v>
      </c>
      <c r="T9" s="16" t="s">
        <v>100</v>
      </c>
      <c r="U9" s="19" t="s">
        <v>100</v>
      </c>
      <c r="V9" s="22" t="s">
        <v>100</v>
      </c>
      <c r="W9" s="19" t="s">
        <v>100</v>
      </c>
      <c r="X9" s="22" t="s">
        <v>100</v>
      </c>
      <c r="Y9" s="19" t="s">
        <v>100</v>
      </c>
      <c r="Z9" s="22" t="s">
        <v>100</v>
      </c>
      <c r="AA9" s="19" t="s">
        <v>100</v>
      </c>
      <c r="AB9" s="22">
        <v>0</v>
      </c>
      <c r="AC9" s="101">
        <v>0</v>
      </c>
      <c r="AD9" s="22">
        <v>0</v>
      </c>
      <c r="AE9" s="101">
        <v>0</v>
      </c>
      <c r="AF9" s="22">
        <v>0</v>
      </c>
    </row>
    <row r="10" spans="1:32" s="6" customFormat="1" ht="11.4">
      <c r="A10" s="6" t="s">
        <v>196</v>
      </c>
      <c r="B10" s="13" t="s">
        <v>58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9" t="s">
        <v>100</v>
      </c>
      <c r="P10" s="16" t="s">
        <v>100</v>
      </c>
      <c r="Q10" s="19" t="s">
        <v>100</v>
      </c>
      <c r="R10" s="16" t="s">
        <v>100</v>
      </c>
      <c r="S10" s="19" t="s">
        <v>100</v>
      </c>
      <c r="T10" s="16" t="s">
        <v>100</v>
      </c>
      <c r="U10" s="19" t="s">
        <v>100</v>
      </c>
      <c r="V10" s="22" t="s">
        <v>100</v>
      </c>
      <c r="W10" s="19" t="s">
        <v>100</v>
      </c>
      <c r="X10" s="22" t="s">
        <v>100</v>
      </c>
      <c r="Y10" s="19" t="s">
        <v>100</v>
      </c>
      <c r="Z10" s="22" t="s">
        <v>100</v>
      </c>
      <c r="AA10" s="19" t="s">
        <v>100</v>
      </c>
      <c r="AB10" s="22" t="s">
        <v>100</v>
      </c>
      <c r="AC10" s="19" t="s">
        <v>100</v>
      </c>
      <c r="AD10" s="22" t="s">
        <v>100</v>
      </c>
      <c r="AE10" s="19" t="s">
        <v>100</v>
      </c>
      <c r="AF10" s="22" t="s">
        <v>100</v>
      </c>
    </row>
    <row r="11" spans="1:32" s="6" customFormat="1" ht="11.4">
      <c r="A11" s="6" t="s">
        <v>197</v>
      </c>
      <c r="B11" s="13" t="s">
        <v>59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9" t="s">
        <v>100</v>
      </c>
      <c r="P11" s="16" t="s">
        <v>100</v>
      </c>
      <c r="Q11" s="19" t="s">
        <v>100</v>
      </c>
      <c r="R11" s="16" t="s">
        <v>100</v>
      </c>
      <c r="S11" s="19" t="s">
        <v>100</v>
      </c>
      <c r="T11" s="16" t="s">
        <v>100</v>
      </c>
      <c r="U11" s="19" t="s">
        <v>100</v>
      </c>
      <c r="V11" s="22" t="s">
        <v>100</v>
      </c>
      <c r="W11" s="19" t="s">
        <v>100</v>
      </c>
      <c r="X11" s="22" t="s">
        <v>100</v>
      </c>
      <c r="Y11" s="19" t="s">
        <v>100</v>
      </c>
      <c r="Z11" s="22" t="s">
        <v>100</v>
      </c>
      <c r="AA11" s="19" t="s">
        <v>100</v>
      </c>
      <c r="AB11" s="22" t="s">
        <v>100</v>
      </c>
      <c r="AC11" s="19" t="s">
        <v>100</v>
      </c>
      <c r="AD11" s="22" t="s">
        <v>100</v>
      </c>
      <c r="AE11" s="19" t="s">
        <v>100</v>
      </c>
      <c r="AF11" s="22" t="s">
        <v>100</v>
      </c>
    </row>
    <row r="12" spans="1:32" s="6" customFormat="1" ht="11.4">
      <c r="A12" s="11" t="s">
        <v>164</v>
      </c>
      <c r="B12" s="13" t="s">
        <v>19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5">
        <v>56660</v>
      </c>
      <c r="P12" s="14">
        <v>72432</v>
      </c>
      <c r="Q12" s="15">
        <v>51940</v>
      </c>
      <c r="R12" s="14">
        <v>112400</v>
      </c>
      <c r="S12" s="15">
        <v>106674</v>
      </c>
      <c r="T12" s="14">
        <v>132587</v>
      </c>
      <c r="U12" s="15">
        <v>135182</v>
      </c>
      <c r="V12" s="98">
        <v>134832</v>
      </c>
      <c r="W12" s="15">
        <v>292922</v>
      </c>
      <c r="X12" s="98">
        <v>379652</v>
      </c>
      <c r="Y12" s="15">
        <v>367017</v>
      </c>
      <c r="Z12" s="98">
        <v>334977</v>
      </c>
      <c r="AA12" s="15">
        <v>217660</v>
      </c>
      <c r="AB12" s="14">
        <v>175054</v>
      </c>
      <c r="AC12" s="100">
        <v>131902</v>
      </c>
      <c r="AD12" s="14">
        <v>38810</v>
      </c>
      <c r="AE12" s="100">
        <v>76171</v>
      </c>
      <c r="AF12" s="14">
        <v>108134</v>
      </c>
    </row>
    <row r="13" spans="1:32" s="6" customFormat="1" ht="11.4">
      <c r="A13" s="9" t="s">
        <v>165</v>
      </c>
      <c r="B13" s="13" t="s">
        <v>21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5">
        <v>51326001</v>
      </c>
      <c r="P13" s="14">
        <v>52433746</v>
      </c>
      <c r="Q13" s="15">
        <v>53260652</v>
      </c>
      <c r="R13" s="14">
        <v>54246012</v>
      </c>
      <c r="S13" s="15">
        <v>55393764</v>
      </c>
      <c r="T13" s="14">
        <v>56664314</v>
      </c>
      <c r="U13" s="15">
        <v>56684484</v>
      </c>
      <c r="V13" s="98">
        <v>55844522</v>
      </c>
      <c r="W13" s="15">
        <v>56518126</v>
      </c>
      <c r="X13" s="98">
        <v>55703480</v>
      </c>
      <c r="Y13" s="15">
        <v>55995884</v>
      </c>
      <c r="Z13" s="98">
        <v>56215422</v>
      </c>
      <c r="AA13" s="15">
        <v>56272609</v>
      </c>
      <c r="AB13" s="14">
        <v>57028409</v>
      </c>
      <c r="AC13" s="100">
        <v>57833253</v>
      </c>
      <c r="AD13" s="14">
        <v>58228178</v>
      </c>
      <c r="AE13" s="100">
        <v>58150633</v>
      </c>
      <c r="AF13" s="14">
        <v>58271811</v>
      </c>
    </row>
    <row r="14" spans="1:32" s="6" customFormat="1" ht="11.4">
      <c r="A14" s="12" t="s">
        <v>166</v>
      </c>
      <c r="B14" s="13" t="s">
        <v>22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5">
        <v>560693</v>
      </c>
      <c r="P14" s="14">
        <v>335661</v>
      </c>
      <c r="Q14" s="15">
        <v>341511</v>
      </c>
      <c r="R14" s="14">
        <v>333198</v>
      </c>
      <c r="S14" s="15">
        <v>344921</v>
      </c>
      <c r="T14" s="14">
        <v>346178</v>
      </c>
      <c r="U14" s="15">
        <v>357652</v>
      </c>
      <c r="V14" s="98">
        <v>335489</v>
      </c>
      <c r="W14" s="15">
        <v>338412</v>
      </c>
      <c r="X14" s="98">
        <v>383940</v>
      </c>
      <c r="Y14" s="15">
        <v>1270554</v>
      </c>
      <c r="Z14" s="98">
        <v>446455</v>
      </c>
      <c r="AA14" s="15">
        <v>558864</v>
      </c>
      <c r="AB14" s="14">
        <v>130899</v>
      </c>
      <c r="AC14" s="100">
        <v>602101</v>
      </c>
      <c r="AD14" s="14">
        <v>130921</v>
      </c>
      <c r="AE14" s="100">
        <v>3752896</v>
      </c>
      <c r="AF14" s="14">
        <v>2140457</v>
      </c>
    </row>
    <row r="15" spans="1:32" s="6" customFormat="1" ht="11.4">
      <c r="A15" s="9" t="s">
        <v>167</v>
      </c>
      <c r="B15" s="13" t="s">
        <v>23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5">
        <v>451815</v>
      </c>
      <c r="P15" s="14">
        <v>441154</v>
      </c>
      <c r="Q15" s="15">
        <v>452435</v>
      </c>
      <c r="R15" s="14">
        <v>460659</v>
      </c>
      <c r="S15" s="15">
        <v>807830</v>
      </c>
      <c r="T15" s="14">
        <v>814843</v>
      </c>
      <c r="U15" s="15">
        <v>787556</v>
      </c>
      <c r="V15" s="98">
        <v>763585</v>
      </c>
      <c r="W15" s="15">
        <v>741526</v>
      </c>
      <c r="X15" s="98">
        <v>713310</v>
      </c>
      <c r="Y15" s="15">
        <v>700119</v>
      </c>
      <c r="Z15" s="98">
        <v>702381</v>
      </c>
      <c r="AA15" s="15">
        <v>693720</v>
      </c>
      <c r="AB15" s="14">
        <v>709340</v>
      </c>
      <c r="AC15" s="100">
        <v>733987</v>
      </c>
      <c r="AD15" s="14">
        <v>755209</v>
      </c>
      <c r="AE15" s="100">
        <v>746914</v>
      </c>
      <c r="AF15" s="14">
        <v>723627</v>
      </c>
    </row>
    <row r="16" spans="1:32" s="6" customFormat="1" ht="11.4">
      <c r="A16" s="9" t="s">
        <v>168</v>
      </c>
      <c r="B16" s="13" t="s">
        <v>24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5">
        <v>543483</v>
      </c>
      <c r="P16" s="14">
        <v>550925</v>
      </c>
      <c r="Q16" s="15">
        <v>545896</v>
      </c>
      <c r="R16" s="14">
        <v>572320</v>
      </c>
      <c r="S16" s="15">
        <v>572372</v>
      </c>
      <c r="T16" s="14">
        <v>575071</v>
      </c>
      <c r="U16" s="15">
        <v>577604</v>
      </c>
      <c r="V16" s="98">
        <v>580352</v>
      </c>
      <c r="W16" s="15">
        <v>577898</v>
      </c>
      <c r="X16" s="98">
        <v>507747</v>
      </c>
      <c r="Y16" s="15">
        <v>461424</v>
      </c>
      <c r="Z16" s="98">
        <v>425109</v>
      </c>
      <c r="AA16" s="15">
        <v>420568</v>
      </c>
      <c r="AB16" s="14">
        <v>417952</v>
      </c>
      <c r="AC16" s="100">
        <v>422576</v>
      </c>
      <c r="AD16" s="14">
        <v>426643</v>
      </c>
      <c r="AE16" s="100">
        <v>395724</v>
      </c>
      <c r="AF16" s="14">
        <v>389393</v>
      </c>
    </row>
    <row r="17" spans="1:32" s="6" customFormat="1" ht="11.4">
      <c r="A17" s="9" t="s">
        <v>509</v>
      </c>
      <c r="B17" s="13" t="s">
        <v>510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5">
        <v>0</v>
      </c>
      <c r="P17" s="14">
        <v>0</v>
      </c>
      <c r="Q17" s="15">
        <v>0</v>
      </c>
      <c r="R17" s="14">
        <v>4000</v>
      </c>
      <c r="S17" s="15">
        <v>4000</v>
      </c>
      <c r="T17" s="14">
        <v>4000</v>
      </c>
      <c r="U17" s="15">
        <v>5332</v>
      </c>
      <c r="V17" s="98">
        <v>9822</v>
      </c>
      <c r="W17" s="15">
        <v>5333</v>
      </c>
      <c r="X17" s="98">
        <v>5333</v>
      </c>
      <c r="Y17" s="15">
        <v>5333</v>
      </c>
      <c r="Z17" s="98">
        <v>5333</v>
      </c>
      <c r="AA17" s="15">
        <v>0</v>
      </c>
      <c r="AB17" s="14">
        <v>0</v>
      </c>
      <c r="AC17" s="100">
        <v>0</v>
      </c>
      <c r="AD17" s="14">
        <v>0</v>
      </c>
      <c r="AE17" s="100">
        <v>0</v>
      </c>
      <c r="AF17" s="14">
        <v>0</v>
      </c>
    </row>
    <row r="18" spans="1:32" s="6" customFormat="1" ht="11.4">
      <c r="A18" s="9" t="s">
        <v>169</v>
      </c>
      <c r="B18" s="13" t="s">
        <v>25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5">
        <v>325</v>
      </c>
      <c r="P18" s="14">
        <v>271</v>
      </c>
      <c r="Q18" s="15">
        <v>181</v>
      </c>
      <c r="R18" s="14">
        <v>146</v>
      </c>
      <c r="S18" s="15">
        <v>71</v>
      </c>
      <c r="T18" s="14">
        <v>102</v>
      </c>
      <c r="U18" s="15">
        <v>103</v>
      </c>
      <c r="V18" s="98">
        <v>103</v>
      </c>
      <c r="W18" s="15">
        <v>110</v>
      </c>
      <c r="X18" s="98">
        <v>139810</v>
      </c>
      <c r="Y18" s="15">
        <v>140157</v>
      </c>
      <c r="Z18" s="98">
        <v>3</v>
      </c>
      <c r="AA18" s="15">
        <v>28</v>
      </c>
      <c r="AB18" s="14">
        <v>28</v>
      </c>
      <c r="AC18" s="100">
        <v>1689</v>
      </c>
      <c r="AD18" s="14">
        <v>0</v>
      </c>
      <c r="AE18" s="100">
        <v>0</v>
      </c>
      <c r="AF18" s="14">
        <v>0</v>
      </c>
    </row>
    <row r="19" spans="1:32" s="6" customFormat="1" ht="11.4">
      <c r="A19" s="6" t="s">
        <v>200</v>
      </c>
      <c r="B19" s="13" t="s">
        <v>36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5">
        <v>0</v>
      </c>
      <c r="P19" s="14">
        <v>0</v>
      </c>
      <c r="Q19" s="15">
        <v>0</v>
      </c>
      <c r="R19" s="14">
        <v>0</v>
      </c>
      <c r="S19" s="15">
        <v>0</v>
      </c>
      <c r="T19" s="14">
        <v>0</v>
      </c>
      <c r="U19" s="15">
        <v>0</v>
      </c>
      <c r="V19" s="98">
        <v>0</v>
      </c>
      <c r="W19" s="15">
        <v>0</v>
      </c>
      <c r="X19" s="98">
        <v>0</v>
      </c>
      <c r="Y19" s="15">
        <v>0</v>
      </c>
      <c r="Z19" s="98">
        <v>0</v>
      </c>
      <c r="AA19" s="15">
        <v>0</v>
      </c>
      <c r="AB19" s="14">
        <v>0</v>
      </c>
      <c r="AC19" s="100">
        <v>0</v>
      </c>
      <c r="AD19" s="14">
        <v>0</v>
      </c>
      <c r="AE19" s="100">
        <v>0</v>
      </c>
      <c r="AF19" s="14">
        <v>0</v>
      </c>
    </row>
    <row r="20" spans="1:32" s="6" customFormat="1" ht="11.4">
      <c r="A20" s="6" t="s">
        <v>170</v>
      </c>
      <c r="B20" s="13" t="s">
        <v>26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5">
        <v>911762</v>
      </c>
      <c r="P20" s="14">
        <v>899622</v>
      </c>
      <c r="Q20" s="15">
        <v>959163</v>
      </c>
      <c r="R20" s="14">
        <f>R21+R22</f>
        <v>1035624</v>
      </c>
      <c r="S20" s="15">
        <v>1059503</v>
      </c>
      <c r="T20" s="14">
        <v>1099648</v>
      </c>
      <c r="U20" s="15">
        <f>U21+U22</f>
        <v>1113812</v>
      </c>
      <c r="V20" s="98">
        <f>V21+V22</f>
        <v>1169853</v>
      </c>
      <c r="W20" s="15">
        <f>W21+W22</f>
        <v>1139404</v>
      </c>
      <c r="X20" s="98">
        <v>1223388</v>
      </c>
      <c r="Y20" s="15">
        <v>1222493</v>
      </c>
      <c r="Z20" s="98">
        <v>1218282</v>
      </c>
      <c r="AA20" s="15">
        <v>1232264</v>
      </c>
      <c r="AB20" s="14">
        <v>1241630</v>
      </c>
      <c r="AC20" s="100">
        <v>1176257</v>
      </c>
      <c r="AD20" s="14">
        <v>1302329</v>
      </c>
      <c r="AE20" s="100">
        <v>1410983</v>
      </c>
      <c r="AF20" s="14">
        <v>1523556</v>
      </c>
    </row>
    <row r="21" spans="1:32" s="6" customFormat="1" ht="11.4">
      <c r="A21" s="6" t="s">
        <v>171</v>
      </c>
      <c r="B21" s="13" t="s">
        <v>53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5">
        <v>0</v>
      </c>
      <c r="P21" s="14">
        <v>0</v>
      </c>
      <c r="Q21" s="15">
        <v>0</v>
      </c>
      <c r="R21" s="14">
        <v>0</v>
      </c>
      <c r="S21" s="15">
        <v>18</v>
      </c>
      <c r="T21" s="14">
        <v>6976</v>
      </c>
      <c r="U21" s="15">
        <v>14978</v>
      </c>
      <c r="V21" s="98">
        <v>20468</v>
      </c>
      <c r="W21" s="15">
        <v>16196</v>
      </c>
      <c r="X21" s="98">
        <v>28829</v>
      </c>
      <c r="Y21" s="15">
        <v>46916</v>
      </c>
      <c r="Z21" s="98">
        <v>59572</v>
      </c>
      <c r="AA21" s="15">
        <v>85562</v>
      </c>
      <c r="AB21" s="14">
        <v>75786</v>
      </c>
      <c r="AC21" s="100">
        <v>16</v>
      </c>
      <c r="AD21" s="14">
        <v>27</v>
      </c>
      <c r="AE21" s="100">
        <v>26</v>
      </c>
      <c r="AF21" s="14">
        <v>26</v>
      </c>
    </row>
    <row r="22" spans="1:32" s="6" customFormat="1" ht="11.4">
      <c r="A22" s="6" t="s">
        <v>172</v>
      </c>
      <c r="B22" s="13" t="s">
        <v>54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5">
        <v>911762</v>
      </c>
      <c r="P22" s="14">
        <v>899622</v>
      </c>
      <c r="Q22" s="15">
        <v>959163</v>
      </c>
      <c r="R22" s="14">
        <v>1035624</v>
      </c>
      <c r="S22" s="15">
        <v>1059485</v>
      </c>
      <c r="T22" s="14">
        <v>1092672</v>
      </c>
      <c r="U22" s="15">
        <v>1098834</v>
      </c>
      <c r="V22" s="98">
        <v>1149385</v>
      </c>
      <c r="W22" s="15">
        <v>1123208</v>
      </c>
      <c r="X22" s="98">
        <v>1194559</v>
      </c>
      <c r="Y22" s="15">
        <v>1175577</v>
      </c>
      <c r="Z22" s="98">
        <v>1158710</v>
      </c>
      <c r="AA22" s="15">
        <v>1146702</v>
      </c>
      <c r="AB22" s="14">
        <v>1165844</v>
      </c>
      <c r="AC22" s="100">
        <v>1176241</v>
      </c>
      <c r="AD22" s="14">
        <v>1302302</v>
      </c>
      <c r="AE22" s="100">
        <v>1410957</v>
      </c>
      <c r="AF22" s="14">
        <v>1523530</v>
      </c>
    </row>
    <row r="23" spans="1:32" s="6" customFormat="1" ht="12" thickBot="1">
      <c r="A23" s="6" t="s">
        <v>173</v>
      </c>
      <c r="B23" s="13" t="s">
        <v>27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5">
        <v>527124</v>
      </c>
      <c r="P23" s="14">
        <v>499527</v>
      </c>
      <c r="Q23" s="15">
        <v>400296</v>
      </c>
      <c r="R23" s="14">
        <v>676481</v>
      </c>
      <c r="S23" s="15">
        <v>473344</v>
      </c>
      <c r="T23" s="14">
        <v>526468</v>
      </c>
      <c r="U23" s="15">
        <v>722715</v>
      </c>
      <c r="V23" s="98">
        <v>484893</v>
      </c>
      <c r="W23" s="15">
        <v>463966</v>
      </c>
      <c r="X23" s="98">
        <v>439361</v>
      </c>
      <c r="Y23" s="15">
        <v>524750</v>
      </c>
      <c r="Z23" s="98">
        <v>581126</v>
      </c>
      <c r="AA23" s="15">
        <v>553619</v>
      </c>
      <c r="AB23" s="14">
        <v>650262</v>
      </c>
      <c r="AC23" s="100">
        <v>553349</v>
      </c>
      <c r="AD23" s="14">
        <v>613454</v>
      </c>
      <c r="AE23" s="100">
        <v>556816</v>
      </c>
      <c r="AF23" s="14">
        <v>680908</v>
      </c>
    </row>
    <row r="24" spans="1:32" s="6" customFormat="1" ht="12" thickBot="1">
      <c r="A24" s="6" t="s">
        <v>174</v>
      </c>
      <c r="B24" s="20" t="s">
        <v>44</v>
      </c>
      <c r="C24" s="21">
        <f t="shared" ref="C24:U24" si="0">C3+C4+C5+C13+C14+C15+C16+C17+C18+C19+C20+C23+C12</f>
        <v>34886136</v>
      </c>
      <c r="D24" s="21">
        <f t="shared" si="0"/>
        <v>36466760</v>
      </c>
      <c r="E24" s="21">
        <f t="shared" si="0"/>
        <v>37304259.859999999</v>
      </c>
      <c r="F24" s="21">
        <f t="shared" si="0"/>
        <v>40003010</v>
      </c>
      <c r="G24" s="21">
        <f t="shared" si="0"/>
        <v>42025695</v>
      </c>
      <c r="H24" s="21">
        <f t="shared" si="0"/>
        <v>47041752</v>
      </c>
      <c r="I24" s="21">
        <f t="shared" si="0"/>
        <v>46581539</v>
      </c>
      <c r="J24" s="21">
        <f t="shared" si="0"/>
        <v>61160491</v>
      </c>
      <c r="K24" s="21">
        <f t="shared" si="0"/>
        <v>60439837</v>
      </c>
      <c r="L24" s="21">
        <f t="shared" si="0"/>
        <v>61858805</v>
      </c>
      <c r="M24" s="21">
        <f t="shared" si="0"/>
        <v>65062093</v>
      </c>
      <c r="N24" s="21">
        <f t="shared" si="0"/>
        <v>69515982</v>
      </c>
      <c r="O24" s="21">
        <f t="shared" si="0"/>
        <v>70355779</v>
      </c>
      <c r="P24" s="21">
        <f t="shared" si="0"/>
        <v>70337259</v>
      </c>
      <c r="Q24" s="21">
        <f t="shared" si="0"/>
        <v>71167223</v>
      </c>
      <c r="R24" s="21">
        <f>R3+R4+R5+R13+R14+R15+R16+R17+R18+R19+R20+R23+R12</f>
        <v>73419887</v>
      </c>
      <c r="S24" s="21">
        <f t="shared" si="0"/>
        <v>74638883</v>
      </c>
      <c r="T24" s="21">
        <f t="shared" si="0"/>
        <v>77058388</v>
      </c>
      <c r="U24" s="21">
        <f t="shared" si="0"/>
        <v>76983674</v>
      </c>
      <c r="V24" s="21">
        <v>76714137</v>
      </c>
      <c r="W24" s="21">
        <f>W3+W4+W5+W12+W13+W14+W15+W16+W17+W18+W19+W20+W23</f>
        <v>76512233</v>
      </c>
      <c r="X24" s="21">
        <f>X3+X4+X5+X12+X13+X14+X15+X16+X17+X18+X19+X20+X23</f>
        <v>77671909</v>
      </c>
      <c r="Y24" s="21">
        <v>77717339</v>
      </c>
      <c r="Z24" s="21">
        <f t="shared" ref="Z24:AE24" si="1">Z3+Z4+Z5+Z12+Z13+Z14+Z15+Z16+Z17+Z18+Z19+Z20+Z23</f>
        <v>78642032</v>
      </c>
      <c r="AA24" s="21">
        <f t="shared" si="1"/>
        <v>79880618</v>
      </c>
      <c r="AB24" s="21">
        <f t="shared" si="1"/>
        <v>79035095</v>
      </c>
      <c r="AC24" s="21">
        <f t="shared" si="1"/>
        <v>78201942</v>
      </c>
      <c r="AD24" s="21">
        <f t="shared" si="1"/>
        <v>83048372</v>
      </c>
      <c r="AE24" s="21">
        <f t="shared" si="1"/>
        <v>84649724</v>
      </c>
      <c r="AF24" s="21">
        <f t="shared" ref="AF24" si="2">AF3+AF4+AF5+AF12+AF13+AF14+AF15+AF16+AF17+AF18+AF19+AF20+AF23</f>
        <v>84223458</v>
      </c>
    </row>
    <row r="25" spans="1:32" s="6" customFormat="1" ht="11.4"/>
    <row r="26" spans="1:32" s="6" customFormat="1" ht="12" thickBot="1"/>
    <row r="27" spans="1:32" s="6" customFormat="1" ht="12" thickBot="1">
      <c r="A27" s="6" t="s">
        <v>175</v>
      </c>
      <c r="B27" s="5" t="s">
        <v>45</v>
      </c>
      <c r="C27" s="111" t="s">
        <v>443</v>
      </c>
      <c r="D27" s="111" t="s">
        <v>444</v>
      </c>
      <c r="E27" s="111" t="s">
        <v>445</v>
      </c>
      <c r="F27" s="111" t="s">
        <v>446</v>
      </c>
      <c r="G27" s="111" t="s">
        <v>447</v>
      </c>
      <c r="H27" s="111" t="s">
        <v>448</v>
      </c>
      <c r="I27" s="111" t="s">
        <v>449</v>
      </c>
      <c r="J27" s="111" t="s">
        <v>450</v>
      </c>
      <c r="K27" s="111" t="s">
        <v>451</v>
      </c>
      <c r="L27" s="111" t="s">
        <v>452</v>
      </c>
      <c r="M27" s="111" t="s">
        <v>453</v>
      </c>
      <c r="N27" s="111" t="s">
        <v>454</v>
      </c>
      <c r="O27" s="111" t="s">
        <v>455</v>
      </c>
      <c r="P27" s="111" t="s">
        <v>456</v>
      </c>
      <c r="Q27" s="111" t="s">
        <v>457</v>
      </c>
      <c r="R27" s="111" t="s">
        <v>458</v>
      </c>
      <c r="S27" s="111" t="s">
        <v>459</v>
      </c>
      <c r="T27" s="111" t="s">
        <v>460</v>
      </c>
      <c r="U27" s="111" t="s">
        <v>461</v>
      </c>
      <c r="V27" s="111" t="s">
        <v>462</v>
      </c>
      <c r="W27" s="111" t="s">
        <v>463</v>
      </c>
      <c r="X27" s="111" t="s">
        <v>464</v>
      </c>
      <c r="Y27" s="111" t="s">
        <v>465</v>
      </c>
      <c r="Z27" s="111" t="s">
        <v>466</v>
      </c>
      <c r="AA27" s="111" t="s">
        <v>467</v>
      </c>
      <c r="AB27" s="111" t="s">
        <v>468</v>
      </c>
      <c r="AC27" s="111" t="s">
        <v>469</v>
      </c>
      <c r="AD27" s="111" t="s">
        <v>471</v>
      </c>
      <c r="AE27" s="111" t="s">
        <v>502</v>
      </c>
      <c r="AF27" s="111" t="s">
        <v>504</v>
      </c>
    </row>
    <row r="28" spans="1:32" s="6" customFormat="1" ht="11.4">
      <c r="A28" s="6" t="s">
        <v>176</v>
      </c>
      <c r="B28" s="13" t="s">
        <v>28</v>
      </c>
      <c r="C28" s="22">
        <v>1853647</v>
      </c>
      <c r="D28" s="19">
        <v>1600556</v>
      </c>
      <c r="E28" s="22">
        <v>662791</v>
      </c>
      <c r="F28" s="19">
        <v>1051028</v>
      </c>
      <c r="G28" s="22">
        <v>404220</v>
      </c>
      <c r="H28" s="19">
        <v>1016777</v>
      </c>
      <c r="I28" s="22">
        <v>1163129</v>
      </c>
      <c r="J28" s="19">
        <v>428640</v>
      </c>
      <c r="K28" s="22">
        <v>536952</v>
      </c>
      <c r="L28" s="19">
        <v>866687</v>
      </c>
      <c r="M28" s="22">
        <v>714507</v>
      </c>
      <c r="N28" s="19">
        <v>891645</v>
      </c>
      <c r="O28" s="19">
        <v>1012534</v>
      </c>
      <c r="P28" s="22">
        <v>698325</v>
      </c>
      <c r="Q28" s="19">
        <v>645909</v>
      </c>
      <c r="R28" s="22">
        <v>593327</v>
      </c>
      <c r="S28" s="19">
        <v>1028504</v>
      </c>
      <c r="T28" s="22">
        <v>1101123</v>
      </c>
      <c r="U28" s="19">
        <v>984187</v>
      </c>
      <c r="V28" s="22">
        <v>822543</v>
      </c>
      <c r="W28" s="19">
        <v>939965</v>
      </c>
      <c r="X28" s="22">
        <v>967438</v>
      </c>
      <c r="Y28" s="19">
        <v>1063235</v>
      </c>
      <c r="Z28" s="22">
        <v>912407</v>
      </c>
      <c r="AA28" s="19">
        <v>827283</v>
      </c>
      <c r="AB28" s="22">
        <v>717901</v>
      </c>
      <c r="AC28" s="101">
        <v>617593</v>
      </c>
      <c r="AD28" s="22">
        <v>529617</v>
      </c>
      <c r="AE28" s="101">
        <v>2687384</v>
      </c>
      <c r="AF28" s="22">
        <v>1755706</v>
      </c>
    </row>
    <row r="29" spans="1:32" s="6" customFormat="1" ht="11.4">
      <c r="A29" s="6" t="s">
        <v>177</v>
      </c>
      <c r="B29" s="13" t="s">
        <v>29</v>
      </c>
      <c r="C29" s="22">
        <v>27799851</v>
      </c>
      <c r="D29" s="19">
        <v>29774617</v>
      </c>
      <c r="E29" s="22">
        <v>31430616</v>
      </c>
      <c r="F29" s="19">
        <v>33663542</v>
      </c>
      <c r="G29" s="22">
        <v>35802241</v>
      </c>
      <c r="H29" s="19">
        <v>37989929</v>
      </c>
      <c r="I29" s="22">
        <v>37432228</v>
      </c>
      <c r="J29" s="19">
        <v>51368701</v>
      </c>
      <c r="K29" s="22">
        <f>50516894+23658</f>
        <v>50540552</v>
      </c>
      <c r="L29" s="19">
        <f>51688524+32046</f>
        <v>51720570</v>
      </c>
      <c r="M29" s="22">
        <v>54770517</v>
      </c>
      <c r="N29" s="19">
        <v>57657019</v>
      </c>
      <c r="O29" s="19">
        <v>59074569</v>
      </c>
      <c r="P29" s="22">
        <v>59645174</v>
      </c>
      <c r="Q29" s="19">
        <v>60098796</v>
      </c>
      <c r="R29" s="22">
        <v>62435585</v>
      </c>
      <c r="S29" s="19">
        <v>62326563</v>
      </c>
      <c r="T29" s="22">
        <v>64885845</v>
      </c>
      <c r="U29" s="19">
        <v>64739421</v>
      </c>
      <c r="V29" s="22">
        <v>64999259</v>
      </c>
      <c r="W29" s="19">
        <v>64596016</v>
      </c>
      <c r="X29" s="22">
        <v>65865441</v>
      </c>
      <c r="Y29" s="19">
        <v>65868133</v>
      </c>
      <c r="Z29" s="22">
        <v>66875907</v>
      </c>
      <c r="AA29" s="19">
        <v>68621716</v>
      </c>
      <c r="AB29" s="22">
        <v>67832836</v>
      </c>
      <c r="AC29" s="101">
        <v>66953853</v>
      </c>
      <c r="AD29" s="22">
        <v>72005715</v>
      </c>
      <c r="AE29" s="101">
        <v>70779749</v>
      </c>
      <c r="AF29" s="22">
        <v>70741117</v>
      </c>
    </row>
    <row r="30" spans="1:32" s="6" customFormat="1" ht="11.4">
      <c r="A30" s="6" t="s">
        <v>199</v>
      </c>
      <c r="B30" s="13" t="s">
        <v>39</v>
      </c>
      <c r="C30" s="22">
        <v>390026</v>
      </c>
      <c r="D30" s="19">
        <v>324028</v>
      </c>
      <c r="E30" s="22">
        <v>293282</v>
      </c>
      <c r="F30" s="19">
        <v>310180</v>
      </c>
      <c r="G30" s="22">
        <v>338986</v>
      </c>
      <c r="H30" s="19">
        <v>298896</v>
      </c>
      <c r="I30" s="22">
        <v>232566</v>
      </c>
      <c r="J30" s="19">
        <v>298314</v>
      </c>
      <c r="K30" s="22">
        <v>294142</v>
      </c>
      <c r="L30" s="19">
        <v>366491</v>
      </c>
      <c r="M30" s="22">
        <v>403995</v>
      </c>
      <c r="N30" s="19">
        <v>435878</v>
      </c>
      <c r="O30" s="19">
        <v>643457</v>
      </c>
      <c r="P30" s="22">
        <v>445932</v>
      </c>
      <c r="Q30" s="19">
        <v>514831</v>
      </c>
      <c r="R30" s="22">
        <v>416407</v>
      </c>
      <c r="S30" s="19">
        <v>470948</v>
      </c>
      <c r="T30" s="22">
        <v>482943</v>
      </c>
      <c r="U30" s="19">
        <v>520149</v>
      </c>
      <c r="V30" s="22">
        <v>436856</v>
      </c>
      <c r="W30" s="19">
        <v>431762</v>
      </c>
      <c r="X30" s="22">
        <v>516362</v>
      </c>
      <c r="Y30" s="19">
        <v>493324</v>
      </c>
      <c r="Z30" s="22">
        <v>501880</v>
      </c>
      <c r="AA30" s="19">
        <v>256596</v>
      </c>
      <c r="AB30" s="22">
        <v>183787</v>
      </c>
      <c r="AC30" s="101">
        <v>132553</v>
      </c>
      <c r="AD30" s="22">
        <v>188088</v>
      </c>
      <c r="AE30" s="101">
        <v>374143</v>
      </c>
      <c r="AF30" s="22">
        <v>448043</v>
      </c>
    </row>
    <row r="31" spans="1:32" s="6" customFormat="1" ht="11.4">
      <c r="A31" s="6" t="s">
        <v>198</v>
      </c>
      <c r="B31" s="13" t="s">
        <v>59</v>
      </c>
      <c r="C31" s="22">
        <v>390026</v>
      </c>
      <c r="D31" s="19">
        <v>324028</v>
      </c>
      <c r="E31" s="22">
        <v>293282</v>
      </c>
      <c r="F31" s="19">
        <v>310180</v>
      </c>
      <c r="G31" s="22">
        <v>338986</v>
      </c>
      <c r="H31" s="19">
        <v>298896</v>
      </c>
      <c r="I31" s="22">
        <v>232566</v>
      </c>
      <c r="J31" s="19">
        <v>298314</v>
      </c>
      <c r="K31" s="22">
        <v>294142</v>
      </c>
      <c r="L31" s="19">
        <v>366491</v>
      </c>
      <c r="M31" s="22">
        <v>403995</v>
      </c>
      <c r="N31" s="19">
        <v>435878</v>
      </c>
      <c r="O31" s="19" t="s">
        <v>100</v>
      </c>
      <c r="P31" s="22" t="s">
        <v>100</v>
      </c>
      <c r="Q31" s="19" t="s">
        <v>100</v>
      </c>
      <c r="R31" s="22" t="s">
        <v>100</v>
      </c>
      <c r="S31" s="19" t="s">
        <v>100</v>
      </c>
      <c r="T31" s="22" t="s">
        <v>100</v>
      </c>
      <c r="U31" s="19" t="s">
        <v>100</v>
      </c>
      <c r="V31" s="22" t="s">
        <v>100</v>
      </c>
      <c r="W31" s="19" t="s">
        <v>100</v>
      </c>
      <c r="X31" s="22" t="s">
        <v>100</v>
      </c>
      <c r="Y31" s="19" t="s">
        <v>100</v>
      </c>
      <c r="Z31" s="22" t="s">
        <v>100</v>
      </c>
      <c r="AA31" s="19" t="s">
        <v>100</v>
      </c>
      <c r="AB31" s="22" t="s">
        <v>100</v>
      </c>
      <c r="AC31" s="19" t="s">
        <v>100</v>
      </c>
      <c r="AD31" s="22" t="s">
        <v>100</v>
      </c>
      <c r="AE31" s="19" t="s">
        <v>100</v>
      </c>
      <c r="AF31" s="22"/>
    </row>
    <row r="32" spans="1:32" s="6" customFormat="1" ht="11.4">
      <c r="A32" s="6" t="s">
        <v>178</v>
      </c>
      <c r="B32" s="13" t="s">
        <v>42</v>
      </c>
      <c r="C32" s="22" t="s">
        <v>100</v>
      </c>
      <c r="D32" s="19" t="s">
        <v>100</v>
      </c>
      <c r="E32" s="22" t="s">
        <v>100</v>
      </c>
      <c r="F32" s="19" t="s">
        <v>100</v>
      </c>
      <c r="G32" s="22" t="s">
        <v>100</v>
      </c>
      <c r="H32" s="19" t="s">
        <v>100</v>
      </c>
      <c r="I32" s="22" t="s">
        <v>100</v>
      </c>
      <c r="J32" s="19" t="s">
        <v>100</v>
      </c>
      <c r="K32" s="22" t="s">
        <v>100</v>
      </c>
      <c r="L32" s="19" t="s">
        <v>100</v>
      </c>
      <c r="M32" s="22" t="s">
        <v>100</v>
      </c>
      <c r="N32" s="19" t="s">
        <v>100</v>
      </c>
      <c r="O32" s="19">
        <v>643457</v>
      </c>
      <c r="P32" s="22">
        <v>445932</v>
      </c>
      <c r="Q32" s="19">
        <v>514831</v>
      </c>
      <c r="R32" s="22">
        <v>416407</v>
      </c>
      <c r="S32" s="19">
        <f>S30</f>
        <v>470948</v>
      </c>
      <c r="T32" s="22">
        <f>T30</f>
        <v>482943</v>
      </c>
      <c r="U32" s="19">
        <v>520149</v>
      </c>
      <c r="V32" s="22">
        <v>436856</v>
      </c>
      <c r="W32" s="19">
        <v>431762</v>
      </c>
      <c r="X32" s="22">
        <v>516362</v>
      </c>
      <c r="Y32" s="19">
        <v>493324</v>
      </c>
      <c r="Z32" s="22">
        <v>501880</v>
      </c>
      <c r="AA32" s="19">
        <v>256596</v>
      </c>
      <c r="AB32" s="22">
        <v>183787</v>
      </c>
      <c r="AC32" s="101">
        <v>132553</v>
      </c>
      <c r="AD32" s="22">
        <f>AD30</f>
        <v>188088</v>
      </c>
      <c r="AE32" s="101">
        <f>AE30</f>
        <v>374143</v>
      </c>
      <c r="AF32" s="22"/>
    </row>
    <row r="33" spans="1:32" s="6" customFormat="1" ht="11.4">
      <c r="A33" s="6" t="s">
        <v>179</v>
      </c>
      <c r="B33" s="13" t="s">
        <v>19</v>
      </c>
      <c r="C33" s="22">
        <v>0</v>
      </c>
      <c r="D33" s="19">
        <v>10887</v>
      </c>
      <c r="E33" s="22">
        <v>418</v>
      </c>
      <c r="F33" s="19">
        <v>0</v>
      </c>
      <c r="G33" s="22">
        <v>507</v>
      </c>
      <c r="H33" s="19">
        <v>0</v>
      </c>
      <c r="I33" s="22">
        <v>0</v>
      </c>
      <c r="J33" s="19">
        <v>6119</v>
      </c>
      <c r="K33" s="22">
        <v>12252</v>
      </c>
      <c r="L33" s="19">
        <v>8868</v>
      </c>
      <c r="M33" s="22">
        <v>4713</v>
      </c>
      <c r="N33" s="19">
        <v>5419</v>
      </c>
      <c r="O33" s="19">
        <v>10068</v>
      </c>
      <c r="P33" s="22">
        <v>8756</v>
      </c>
      <c r="Q33" s="19">
        <v>4064</v>
      </c>
      <c r="R33" s="22">
        <v>9381</v>
      </c>
      <c r="S33" s="19">
        <v>14714</v>
      </c>
      <c r="T33" s="22">
        <v>16134</v>
      </c>
      <c r="U33" s="19">
        <v>46356</v>
      </c>
      <c r="V33" s="22">
        <v>40676</v>
      </c>
      <c r="W33" s="19">
        <v>77545</v>
      </c>
      <c r="X33" s="22">
        <v>89690</v>
      </c>
      <c r="Y33" s="19">
        <v>88817</v>
      </c>
      <c r="Z33" s="22">
        <v>86162</v>
      </c>
      <c r="AA33" s="19">
        <v>137665</v>
      </c>
      <c r="AB33" s="22">
        <v>169281</v>
      </c>
      <c r="AC33" s="101">
        <v>256753</v>
      </c>
      <c r="AD33" s="22">
        <v>1081996</v>
      </c>
      <c r="AE33" s="101">
        <v>1674163</v>
      </c>
      <c r="AF33" s="22">
        <v>2265278</v>
      </c>
    </row>
    <row r="34" spans="1:32" s="6" customFormat="1" ht="11.4">
      <c r="A34" s="6" t="s">
        <v>180</v>
      </c>
      <c r="B34" s="13" t="s">
        <v>30</v>
      </c>
      <c r="C34" s="22">
        <v>9525</v>
      </c>
      <c r="D34" s="19">
        <v>14014</v>
      </c>
      <c r="E34" s="22">
        <v>9587</v>
      </c>
      <c r="F34" s="19">
        <v>10813</v>
      </c>
      <c r="G34" s="22">
        <v>15010</v>
      </c>
      <c r="H34" s="19">
        <v>11551</v>
      </c>
      <c r="I34" s="22">
        <v>12070</v>
      </c>
      <c r="J34" s="19">
        <v>286815</v>
      </c>
      <c r="K34" s="22">
        <v>268299</v>
      </c>
      <c r="L34" s="19">
        <v>186082</v>
      </c>
      <c r="M34" s="22">
        <v>122410</v>
      </c>
      <c r="N34" s="19">
        <v>90457</v>
      </c>
      <c r="O34" s="19">
        <v>183066</v>
      </c>
      <c r="P34" s="22">
        <v>190562</v>
      </c>
      <c r="Q34" s="19">
        <v>201236</v>
      </c>
      <c r="R34" s="22">
        <v>126199</v>
      </c>
      <c r="S34" s="19">
        <v>122703</v>
      </c>
      <c r="T34" s="22">
        <v>117120</v>
      </c>
      <c r="U34" s="19">
        <v>119716</v>
      </c>
      <c r="V34" s="22">
        <v>358869</v>
      </c>
      <c r="W34" s="19">
        <v>257105</v>
      </c>
      <c r="X34" s="22">
        <v>402739</v>
      </c>
      <c r="Y34" s="19">
        <v>356723</v>
      </c>
      <c r="Z34" s="22">
        <v>336560</v>
      </c>
      <c r="AA34" s="19">
        <v>310779</v>
      </c>
      <c r="AB34" s="22">
        <v>283620</v>
      </c>
      <c r="AC34" s="101">
        <v>285467</v>
      </c>
      <c r="AD34" s="22">
        <v>290213</v>
      </c>
      <c r="AE34" s="101">
        <v>288627</v>
      </c>
      <c r="AF34" s="22">
        <v>265906</v>
      </c>
    </row>
    <row r="35" spans="1:32" s="6" customFormat="1" ht="11.4">
      <c r="A35" s="6" t="s">
        <v>181</v>
      </c>
      <c r="B35" s="13" t="s">
        <v>31</v>
      </c>
      <c r="C35" s="22">
        <v>786188</v>
      </c>
      <c r="D35" s="19">
        <v>670677</v>
      </c>
      <c r="E35" s="22">
        <v>716700</v>
      </c>
      <c r="F35" s="19">
        <v>535274</v>
      </c>
      <c r="G35" s="22">
        <v>894589</v>
      </c>
      <c r="H35" s="19">
        <v>738916</v>
      </c>
      <c r="I35" s="22">
        <v>674485</v>
      </c>
      <c r="J35" s="19">
        <v>1433301</v>
      </c>
      <c r="K35" s="22">
        <f>1271461+12345</f>
        <v>1283806</v>
      </c>
      <c r="L35" s="19">
        <f>1139811+15757</f>
        <v>1155568</v>
      </c>
      <c r="M35" s="22">
        <v>1251720</v>
      </c>
      <c r="N35" s="19">
        <v>1693915</v>
      </c>
      <c r="O35" s="19">
        <v>1376938</v>
      </c>
      <c r="P35" s="22">
        <v>1149084</v>
      </c>
      <c r="Q35" s="19">
        <v>1300059</v>
      </c>
      <c r="R35" s="22">
        <v>1167111</v>
      </c>
      <c r="S35" s="19">
        <v>2095875</v>
      </c>
      <c r="T35" s="22">
        <v>1873102</v>
      </c>
      <c r="U35" s="19">
        <v>1824400</v>
      </c>
      <c r="V35" s="22">
        <v>1429676</v>
      </c>
      <c r="W35" s="19">
        <v>1572872</v>
      </c>
      <c r="X35" s="22">
        <v>1503086</v>
      </c>
      <c r="Y35" s="19">
        <v>1408317</v>
      </c>
      <c r="Z35" s="22">
        <v>1569867</v>
      </c>
      <c r="AA35" s="19">
        <v>1572238</v>
      </c>
      <c r="AB35" s="22">
        <v>1732821</v>
      </c>
      <c r="AC35" s="101">
        <v>1801406</v>
      </c>
      <c r="AD35" s="22">
        <v>1649540</v>
      </c>
      <c r="AE35" s="101">
        <v>1886528</v>
      </c>
      <c r="AF35" s="22">
        <v>2139440</v>
      </c>
    </row>
    <row r="36" spans="1:32" s="6" customFormat="1" ht="11.4">
      <c r="B36" s="13" t="s">
        <v>327</v>
      </c>
      <c r="C36" s="22"/>
      <c r="D36" s="19"/>
      <c r="E36" s="22"/>
      <c r="F36" s="19"/>
      <c r="G36" s="22"/>
      <c r="H36" s="19"/>
      <c r="I36" s="22"/>
      <c r="J36" s="19"/>
      <c r="K36" s="22"/>
      <c r="L36" s="19"/>
      <c r="M36" s="22"/>
      <c r="N36" s="19"/>
      <c r="O36" s="19"/>
      <c r="P36" s="22"/>
      <c r="Q36" s="19"/>
      <c r="R36" s="22"/>
      <c r="S36" s="19"/>
      <c r="T36" s="22"/>
      <c r="U36" s="19"/>
      <c r="V36" s="22"/>
      <c r="W36" s="19">
        <v>0</v>
      </c>
      <c r="X36" s="22">
        <v>165120</v>
      </c>
      <c r="Y36" s="19">
        <v>172332</v>
      </c>
      <c r="Z36" s="22">
        <v>0</v>
      </c>
      <c r="AA36" s="19">
        <v>0</v>
      </c>
      <c r="AB36" s="22">
        <v>0</v>
      </c>
      <c r="AC36" s="101">
        <v>0</v>
      </c>
      <c r="AD36" s="22">
        <v>0</v>
      </c>
      <c r="AE36" s="101">
        <v>0</v>
      </c>
      <c r="AF36" s="22"/>
    </row>
    <row r="37" spans="1:32" s="6" customFormat="1" ht="11.4">
      <c r="A37" s="6" t="s">
        <v>182</v>
      </c>
      <c r="B37" s="13" t="s">
        <v>32</v>
      </c>
      <c r="C37" s="22">
        <v>18633</v>
      </c>
      <c r="D37" s="19">
        <v>15666</v>
      </c>
      <c r="E37" s="22">
        <v>12806</v>
      </c>
      <c r="F37" s="19">
        <v>21776</v>
      </c>
      <c r="G37" s="22">
        <v>30811</v>
      </c>
      <c r="H37" s="19">
        <v>18876</v>
      </c>
      <c r="I37" s="22">
        <v>25793</v>
      </c>
      <c r="J37" s="19">
        <v>13945</v>
      </c>
      <c r="K37" s="22">
        <f>K38+K39</f>
        <v>66971</v>
      </c>
      <c r="L37" s="19">
        <f>L38+L39</f>
        <v>51815</v>
      </c>
      <c r="M37" s="22">
        <v>75803</v>
      </c>
      <c r="N37" s="19">
        <v>135690</v>
      </c>
      <c r="O37" s="19">
        <v>236190</v>
      </c>
      <c r="P37" s="22">
        <v>147337</v>
      </c>
      <c r="Q37" s="19">
        <f>Q38+Q39</f>
        <v>181506</v>
      </c>
      <c r="R37" s="22">
        <f>R38+R39</f>
        <v>267861</v>
      </c>
      <c r="S37" s="19">
        <f>S38+S39</f>
        <v>88434</v>
      </c>
      <c r="T37" s="22">
        <f>T38+T39</f>
        <v>7733</v>
      </c>
      <c r="U37" s="19">
        <f>U38+U39</f>
        <v>41679</v>
      </c>
      <c r="V37" s="22">
        <v>94905</v>
      </c>
      <c r="W37" s="19">
        <f>W38+W39</f>
        <v>10167</v>
      </c>
      <c r="X37" s="22">
        <v>1352</v>
      </c>
      <c r="Y37" s="19">
        <v>1899</v>
      </c>
      <c r="Z37" s="22">
        <v>6685</v>
      </c>
      <c r="AA37" s="19">
        <v>3091</v>
      </c>
      <c r="AB37" s="22">
        <v>3459</v>
      </c>
      <c r="AC37" s="101">
        <v>17600</v>
      </c>
      <c r="AD37" s="22">
        <v>36560</v>
      </c>
      <c r="AE37" s="101">
        <v>71751</v>
      </c>
      <c r="AF37" s="22">
        <v>127565</v>
      </c>
    </row>
    <row r="38" spans="1:32" s="6" customFormat="1" ht="11.4">
      <c r="A38" s="6" t="s">
        <v>183</v>
      </c>
      <c r="B38" s="13" t="s">
        <v>55</v>
      </c>
      <c r="C38" s="22">
        <v>18633</v>
      </c>
      <c r="D38" s="19">
        <v>15666</v>
      </c>
      <c r="E38" s="22">
        <v>12806</v>
      </c>
      <c r="F38" s="19">
        <v>21776</v>
      </c>
      <c r="G38" s="22">
        <v>30722</v>
      </c>
      <c r="H38" s="19">
        <v>18787</v>
      </c>
      <c r="I38" s="22">
        <v>25704</v>
      </c>
      <c r="J38" s="19">
        <v>13190</v>
      </c>
      <c r="K38" s="22">
        <f>45190+1224+19572</f>
        <v>65986</v>
      </c>
      <c r="L38" s="19">
        <f>29431+21169</f>
        <v>50600</v>
      </c>
      <c r="M38" s="22">
        <v>73529</v>
      </c>
      <c r="N38" s="19">
        <v>135204</v>
      </c>
      <c r="O38" s="19">
        <v>235694</v>
      </c>
      <c r="P38" s="22">
        <v>146826</v>
      </c>
      <c r="Q38" s="19">
        <v>180980</v>
      </c>
      <c r="R38" s="22">
        <v>267429</v>
      </c>
      <c r="S38" s="19">
        <f>106545-18552</f>
        <v>87993</v>
      </c>
      <c r="T38" s="22">
        <v>7284</v>
      </c>
      <c r="U38" s="19">
        <v>41220</v>
      </c>
      <c r="V38" s="22">
        <v>94404</v>
      </c>
      <c r="W38" s="19">
        <v>9658</v>
      </c>
      <c r="X38" s="22">
        <v>834</v>
      </c>
      <c r="Y38" s="19">
        <v>1374</v>
      </c>
      <c r="Z38" s="22">
        <v>6046</v>
      </c>
      <c r="AA38" s="19">
        <v>2357</v>
      </c>
      <c r="AB38" s="22">
        <v>2719</v>
      </c>
      <c r="AC38" s="101">
        <v>16855</v>
      </c>
      <c r="AD38" s="22">
        <v>35671</v>
      </c>
      <c r="AE38" s="101">
        <v>70859</v>
      </c>
      <c r="AF38" s="22">
        <v>126675</v>
      </c>
    </row>
    <row r="39" spans="1:32" s="6" customFormat="1" ht="11.4">
      <c r="A39" s="6" t="s">
        <v>184</v>
      </c>
      <c r="B39" s="13" t="s">
        <v>56</v>
      </c>
      <c r="C39" s="22">
        <v>0</v>
      </c>
      <c r="D39" s="19">
        <v>0</v>
      </c>
      <c r="E39" s="22">
        <v>0</v>
      </c>
      <c r="F39" s="19">
        <v>0</v>
      </c>
      <c r="G39" s="22">
        <v>89</v>
      </c>
      <c r="H39" s="19">
        <v>89</v>
      </c>
      <c r="I39" s="22">
        <v>89</v>
      </c>
      <c r="J39" s="19">
        <v>755</v>
      </c>
      <c r="K39" s="22">
        <v>985</v>
      </c>
      <c r="L39" s="19">
        <v>1215</v>
      </c>
      <c r="M39" s="22">
        <v>2274</v>
      </c>
      <c r="N39" s="19">
        <v>486</v>
      </c>
      <c r="O39" s="19">
        <v>496</v>
      </c>
      <c r="P39" s="22">
        <v>511</v>
      </c>
      <c r="Q39" s="19">
        <v>526</v>
      </c>
      <c r="R39" s="22">
        <v>432</v>
      </c>
      <c r="S39" s="19">
        <v>441</v>
      </c>
      <c r="T39" s="22">
        <v>449</v>
      </c>
      <c r="U39" s="19">
        <v>459</v>
      </c>
      <c r="V39" s="22">
        <v>501</v>
      </c>
      <c r="W39" s="19">
        <v>509</v>
      </c>
      <c r="X39" s="22">
        <v>518</v>
      </c>
      <c r="Y39" s="19">
        <v>525</v>
      </c>
      <c r="Z39" s="22">
        <v>639</v>
      </c>
      <c r="AA39" s="19">
        <v>734</v>
      </c>
      <c r="AB39" s="22">
        <v>740</v>
      </c>
      <c r="AC39" s="101">
        <v>745</v>
      </c>
      <c r="AD39" s="22">
        <v>889</v>
      </c>
      <c r="AE39" s="101">
        <v>892</v>
      </c>
      <c r="AF39" s="22">
        <v>890</v>
      </c>
    </row>
    <row r="40" spans="1:32" s="6" customFormat="1" ht="12" thickBot="1">
      <c r="A40" s="6" t="s">
        <v>185</v>
      </c>
      <c r="B40" s="13" t="s">
        <v>33</v>
      </c>
      <c r="C40" s="22">
        <v>706264</v>
      </c>
      <c r="D40" s="19">
        <v>711094</v>
      </c>
      <c r="E40" s="22">
        <v>707724</v>
      </c>
      <c r="F40" s="19">
        <v>896298</v>
      </c>
      <c r="G40" s="22">
        <v>937739</v>
      </c>
      <c r="H40" s="19">
        <v>1165450</v>
      </c>
      <c r="I40" s="22">
        <v>1163660</v>
      </c>
      <c r="J40" s="19">
        <v>1164794</v>
      </c>
      <c r="K40" s="22">
        <v>1160970</v>
      </c>
      <c r="L40" s="19">
        <v>1160811</v>
      </c>
      <c r="M40" s="22">
        <v>1169760</v>
      </c>
      <c r="N40" s="19">
        <v>1914976</v>
      </c>
      <c r="O40" s="19">
        <v>1925334</v>
      </c>
      <c r="P40" s="22">
        <v>1918988</v>
      </c>
      <c r="Q40" s="19">
        <v>1926110</v>
      </c>
      <c r="R40" s="22">
        <v>1918093</v>
      </c>
      <c r="S40" s="19">
        <v>1931830</v>
      </c>
      <c r="T40" s="22">
        <v>1920387</v>
      </c>
      <c r="U40" s="19">
        <v>1928437</v>
      </c>
      <c r="V40" s="22">
        <v>1793985</v>
      </c>
      <c r="W40" s="19">
        <v>1804489</v>
      </c>
      <c r="X40" s="22">
        <v>1793330</v>
      </c>
      <c r="Y40" s="19">
        <v>1798883</v>
      </c>
      <c r="Z40" s="22">
        <v>1792962</v>
      </c>
      <c r="AA40" s="19">
        <v>1605142</v>
      </c>
      <c r="AB40" s="22">
        <v>1529202</v>
      </c>
      <c r="AC40" s="101">
        <v>1536055</v>
      </c>
      <c r="AD40" s="22">
        <v>1347441</v>
      </c>
      <c r="AE40" s="101">
        <v>1307704</v>
      </c>
      <c r="AF40" s="22">
        <v>1159386</v>
      </c>
    </row>
    <row r="41" spans="1:32" s="6" customFormat="1" ht="12" thickBot="1">
      <c r="A41" s="6" t="s">
        <v>186</v>
      </c>
      <c r="B41" s="20" t="s">
        <v>34</v>
      </c>
      <c r="C41" s="23">
        <f t="shared" ref="C41:S41" si="3">C28+C29+C33+C34+C35+C37+C40+C30</f>
        <v>31564134</v>
      </c>
      <c r="D41" s="23">
        <f t="shared" si="3"/>
        <v>33121539</v>
      </c>
      <c r="E41" s="23">
        <f t="shared" si="3"/>
        <v>33833924</v>
      </c>
      <c r="F41" s="23">
        <f t="shared" si="3"/>
        <v>36488911</v>
      </c>
      <c r="G41" s="23">
        <f t="shared" si="3"/>
        <v>38424103</v>
      </c>
      <c r="H41" s="23">
        <f t="shared" si="3"/>
        <v>41240395</v>
      </c>
      <c r="I41" s="23">
        <f t="shared" si="3"/>
        <v>40703931</v>
      </c>
      <c r="J41" s="23">
        <f t="shared" si="3"/>
        <v>55000629</v>
      </c>
      <c r="K41" s="23">
        <f t="shared" si="3"/>
        <v>54163944</v>
      </c>
      <c r="L41" s="23">
        <f t="shared" si="3"/>
        <v>55516892</v>
      </c>
      <c r="M41" s="23">
        <f t="shared" si="3"/>
        <v>58513425</v>
      </c>
      <c r="N41" s="23">
        <f t="shared" si="3"/>
        <v>62824999</v>
      </c>
      <c r="O41" s="23">
        <f t="shared" si="3"/>
        <v>64462156</v>
      </c>
      <c r="P41" s="23">
        <f t="shared" si="3"/>
        <v>64204158</v>
      </c>
      <c r="Q41" s="23">
        <f t="shared" si="3"/>
        <v>64872511</v>
      </c>
      <c r="R41" s="23">
        <f t="shared" si="3"/>
        <v>66933964</v>
      </c>
      <c r="S41" s="23">
        <f t="shared" si="3"/>
        <v>68079571</v>
      </c>
      <c r="T41" s="23">
        <f>T28+T29+T33+T34+T35+T37+T40+T30</f>
        <v>70404387</v>
      </c>
      <c r="U41" s="23">
        <f>U28+U29+U33+U34+U35+U37+U40+U30</f>
        <v>70204345</v>
      </c>
      <c r="V41" s="23">
        <v>69976769</v>
      </c>
      <c r="W41" s="23">
        <f>W28+W29+W30+W33+W34+W35+W37+W40</f>
        <v>69689921</v>
      </c>
      <c r="X41" s="23">
        <f>X28+X29+X30+X33+X34+X35+X37+X40+X36</f>
        <v>71304558</v>
      </c>
      <c r="Y41" s="23">
        <v>71251663</v>
      </c>
      <c r="Z41" s="23">
        <f t="shared" ref="Z41:AE41" si="4">Z28+Z29+Z30+Z33+Z34+Z35+Z37+Z40+Z36</f>
        <v>72082430</v>
      </c>
      <c r="AA41" s="23">
        <f t="shared" si="4"/>
        <v>73334510</v>
      </c>
      <c r="AB41" s="23">
        <f t="shared" si="4"/>
        <v>72452907</v>
      </c>
      <c r="AC41" s="23">
        <f t="shared" si="4"/>
        <v>71601280</v>
      </c>
      <c r="AD41" s="23">
        <f t="shared" si="4"/>
        <v>77129170</v>
      </c>
      <c r="AE41" s="23">
        <f t="shared" si="4"/>
        <v>79070049</v>
      </c>
      <c r="AF41" s="23">
        <f>AF28+AF29+AF30+AF33+AF34+AF35+AF37+AF40+AF36</f>
        <v>78902441</v>
      </c>
    </row>
    <row r="42" spans="1:32" s="6" customFormat="1" ht="11.4">
      <c r="A42" s="6" t="s">
        <v>187</v>
      </c>
      <c r="B42" s="13" t="s">
        <v>46</v>
      </c>
      <c r="C42" s="22">
        <v>725216</v>
      </c>
      <c r="D42" s="19">
        <v>726812</v>
      </c>
      <c r="E42" s="22">
        <v>727076</v>
      </c>
      <c r="F42" s="19">
        <v>727075</v>
      </c>
      <c r="G42" s="22">
        <v>727075</v>
      </c>
      <c r="H42" s="19">
        <v>1292577</v>
      </c>
      <c r="I42" s="22">
        <v>1292577</v>
      </c>
      <c r="J42" s="19">
        <v>1292578</v>
      </c>
      <c r="K42" s="22">
        <v>1292578</v>
      </c>
      <c r="L42" s="19">
        <v>1292578</v>
      </c>
      <c r="M42" s="22">
        <v>1292578</v>
      </c>
      <c r="N42" s="19">
        <v>1292636</v>
      </c>
      <c r="O42" s="19">
        <v>1292788</v>
      </c>
      <c r="P42" s="22">
        <v>1304587</v>
      </c>
      <c r="Q42" s="19">
        <v>1305187</v>
      </c>
      <c r="R42" s="22">
        <v>1305540</v>
      </c>
      <c r="S42" s="19">
        <v>1305540</v>
      </c>
      <c r="T42" s="22">
        <v>1305540</v>
      </c>
      <c r="U42" s="19">
        <v>1305540</v>
      </c>
      <c r="V42" s="22">
        <v>1305540</v>
      </c>
      <c r="W42" s="19">
        <v>1305540</v>
      </c>
      <c r="X42" s="22">
        <v>1305540</v>
      </c>
      <c r="Y42" s="19">
        <v>1305540</v>
      </c>
      <c r="Z42" s="22">
        <v>1305540</v>
      </c>
      <c r="AA42" s="19">
        <v>1305540</v>
      </c>
      <c r="AB42" s="22">
        <v>1305540</v>
      </c>
      <c r="AC42" s="101">
        <v>1305540</v>
      </c>
      <c r="AD42" s="22">
        <v>1305540</v>
      </c>
      <c r="AE42" s="101">
        <v>1305540</v>
      </c>
      <c r="AF42" s="22">
        <v>1305540</v>
      </c>
    </row>
    <row r="43" spans="1:32" s="6" customFormat="1" ht="11.4">
      <c r="A43" s="6" t="s">
        <v>188</v>
      </c>
      <c r="B43" s="13" t="s">
        <v>47</v>
      </c>
      <c r="C43" s="22">
        <v>1934025</v>
      </c>
      <c r="D43" s="19">
        <v>2278384</v>
      </c>
      <c r="E43" s="22">
        <v>2279758</v>
      </c>
      <c r="F43" s="19">
        <v>2279843</v>
      </c>
      <c r="G43" s="22">
        <v>2591258</v>
      </c>
      <c r="H43" s="19">
        <v>4172467</v>
      </c>
      <c r="I43" s="22">
        <v>4172359</v>
      </c>
      <c r="J43" s="19">
        <v>4185843</v>
      </c>
      <c r="K43" s="22">
        <v>4185843</v>
      </c>
      <c r="L43" s="19">
        <v>4819745</v>
      </c>
      <c r="M43" s="22">
        <v>4820048</v>
      </c>
      <c r="N43" s="19">
        <v>4820048</v>
      </c>
      <c r="O43" s="19">
        <v>4820837</v>
      </c>
      <c r="P43" s="22">
        <v>5385004</v>
      </c>
      <c r="Q43" s="19">
        <v>5385004</v>
      </c>
      <c r="R43" s="22">
        <v>5386828</v>
      </c>
      <c r="S43" s="19">
        <v>5386828</v>
      </c>
      <c r="T43" s="22">
        <v>5393358</v>
      </c>
      <c r="U43" s="19">
        <v>5393358</v>
      </c>
      <c r="V43" s="22">
        <v>5393358</v>
      </c>
      <c r="W43" s="19">
        <v>5393358</v>
      </c>
      <c r="X43" s="22">
        <v>5399627</v>
      </c>
      <c r="Y43" s="19">
        <v>5399627</v>
      </c>
      <c r="Z43" s="22">
        <v>5399627</v>
      </c>
      <c r="AA43" s="19">
        <v>5399627</v>
      </c>
      <c r="AB43" s="22">
        <v>5403661</v>
      </c>
      <c r="AC43" s="101">
        <v>5403661</v>
      </c>
      <c r="AD43" s="22">
        <v>5403849</v>
      </c>
      <c r="AE43" s="101">
        <v>5403849</v>
      </c>
      <c r="AF43" s="22">
        <v>5406878</v>
      </c>
    </row>
    <row r="44" spans="1:32" s="6" customFormat="1" ht="11.4">
      <c r="A44" s="6" t="s">
        <v>189</v>
      </c>
      <c r="B44" s="13" t="s">
        <v>48</v>
      </c>
      <c r="C44" s="22">
        <v>34018</v>
      </c>
      <c r="D44" s="19">
        <v>-22724</v>
      </c>
      <c r="E44" s="22">
        <v>8989</v>
      </c>
      <c r="F44" s="19">
        <v>15215</v>
      </c>
      <c r="G44" s="22">
        <v>22606</v>
      </c>
      <c r="H44" s="19">
        <v>-3280</v>
      </c>
      <c r="I44" s="22">
        <v>-13874</v>
      </c>
      <c r="J44" s="19">
        <v>-71615</v>
      </c>
      <c r="K44" s="22">
        <v>-44281</v>
      </c>
      <c r="L44" s="19">
        <v>-31339</v>
      </c>
      <c r="M44" s="22">
        <v>3566</v>
      </c>
      <c r="N44" s="19">
        <v>13944</v>
      </c>
      <c r="O44" s="19">
        <v>90245</v>
      </c>
      <c r="P44" s="22">
        <v>64448</v>
      </c>
      <c r="Q44" s="19">
        <v>47113</v>
      </c>
      <c r="R44" s="22">
        <v>52164</v>
      </c>
      <c r="S44" s="19">
        <v>3425</v>
      </c>
      <c r="T44" s="22">
        <v>62090</v>
      </c>
      <c r="U44" s="19">
        <v>72928</v>
      </c>
      <c r="V44" s="22">
        <v>76404</v>
      </c>
      <c r="W44" s="19">
        <v>67952</v>
      </c>
      <c r="X44" s="22">
        <v>220693</v>
      </c>
      <c r="Y44" s="19">
        <v>237582</v>
      </c>
      <c r="Z44" s="22">
        <v>217330</v>
      </c>
      <c r="AA44" s="19">
        <v>93908</v>
      </c>
      <c r="AB44" s="22">
        <v>5979</v>
      </c>
      <c r="AC44" s="101">
        <v>-125188</v>
      </c>
      <c r="AD44" s="22">
        <v>-906659</v>
      </c>
      <c r="AE44" s="101">
        <v>-1415421</v>
      </c>
      <c r="AF44" s="22">
        <v>-1890036</v>
      </c>
    </row>
    <row r="45" spans="1:32" s="6" customFormat="1" ht="11.4">
      <c r="A45" s="6" t="s">
        <v>190</v>
      </c>
      <c r="B45" s="13" t="s">
        <v>49</v>
      </c>
      <c r="C45" s="22">
        <v>184917</v>
      </c>
      <c r="D45" s="19">
        <v>185762</v>
      </c>
      <c r="E45" s="22">
        <v>186671</v>
      </c>
      <c r="F45" s="19">
        <v>184735</v>
      </c>
      <c r="G45" s="22">
        <v>184735</v>
      </c>
      <c r="H45" s="19">
        <v>183803</v>
      </c>
      <c r="I45" s="22">
        <v>183803</v>
      </c>
      <c r="J45" s="19">
        <v>183957</v>
      </c>
      <c r="K45" s="22">
        <v>183957</v>
      </c>
      <c r="L45" s="19">
        <v>183824</v>
      </c>
      <c r="M45" s="22">
        <v>183882</v>
      </c>
      <c r="N45" s="19">
        <v>183824</v>
      </c>
      <c r="O45" s="19">
        <v>186318</v>
      </c>
      <c r="P45" s="22">
        <v>172839</v>
      </c>
      <c r="Q45" s="19">
        <v>174429</v>
      </c>
      <c r="R45" s="22">
        <v>171629</v>
      </c>
      <c r="S45" s="19">
        <v>171629</v>
      </c>
      <c r="T45" s="22">
        <v>171629</v>
      </c>
      <c r="U45" s="19">
        <v>171629</v>
      </c>
      <c r="V45" s="22">
        <v>166850</v>
      </c>
      <c r="W45" s="19">
        <v>166850</v>
      </c>
      <c r="X45" s="22">
        <v>166850</v>
      </c>
      <c r="Y45" s="19">
        <v>166850</v>
      </c>
      <c r="Z45" s="22">
        <v>161792</v>
      </c>
      <c r="AA45" s="19">
        <v>161792</v>
      </c>
      <c r="AB45" s="22">
        <v>161792</v>
      </c>
      <c r="AC45" s="101">
        <v>161788</v>
      </c>
      <c r="AD45" s="22">
        <v>161788</v>
      </c>
      <c r="AE45" s="101">
        <v>161792</v>
      </c>
      <c r="AF45" s="22">
        <v>161792</v>
      </c>
    </row>
    <row r="46" spans="1:32" s="6" customFormat="1" ht="11.4">
      <c r="A46" s="6" t="s">
        <v>511</v>
      </c>
      <c r="B46" s="13" t="s">
        <v>50</v>
      </c>
      <c r="C46" s="22">
        <v>0</v>
      </c>
      <c r="D46" s="19">
        <v>0</v>
      </c>
      <c r="E46" s="22">
        <v>0</v>
      </c>
      <c r="F46" s="19">
        <v>0</v>
      </c>
      <c r="G46" s="22">
        <v>0</v>
      </c>
      <c r="H46" s="19">
        <v>0</v>
      </c>
      <c r="I46" s="22">
        <v>16</v>
      </c>
      <c r="J46" s="19">
        <v>-22</v>
      </c>
      <c r="K46" s="22">
        <v>50</v>
      </c>
      <c r="L46" s="19">
        <v>55</v>
      </c>
      <c r="M46" s="22">
        <v>3</v>
      </c>
      <c r="N46" s="19">
        <v>594</v>
      </c>
      <c r="O46" s="19">
        <v>-21</v>
      </c>
      <c r="P46" s="22">
        <v>-230</v>
      </c>
      <c r="Q46" s="19">
        <v>-6</v>
      </c>
      <c r="R46" s="22">
        <v>-202</v>
      </c>
      <c r="S46" s="19">
        <v>38</v>
      </c>
      <c r="T46" s="22">
        <v>109</v>
      </c>
      <c r="U46" s="19">
        <v>-341</v>
      </c>
      <c r="V46" s="22">
        <v>605</v>
      </c>
      <c r="W46" s="19">
        <v>-627</v>
      </c>
      <c r="X46" s="22">
        <v>-158</v>
      </c>
      <c r="Y46" s="19">
        <v>-508</v>
      </c>
      <c r="Z46" s="22">
        <v>-1620</v>
      </c>
      <c r="AA46" s="19">
        <v>-172</v>
      </c>
      <c r="AB46" s="22">
        <v>284</v>
      </c>
      <c r="AC46" s="101">
        <v>-414</v>
      </c>
      <c r="AD46" s="22">
        <v>-43</v>
      </c>
      <c r="AE46" s="101">
        <v>22</v>
      </c>
      <c r="AF46" s="22">
        <v>-235</v>
      </c>
    </row>
    <row r="47" spans="1:32" s="6" customFormat="1" ht="11.4">
      <c r="A47" s="6" t="s">
        <v>191</v>
      </c>
      <c r="B47" s="13" t="s">
        <v>51</v>
      </c>
      <c r="C47" s="22">
        <v>337522</v>
      </c>
      <c r="D47" s="19">
        <v>-3608</v>
      </c>
      <c r="E47" s="22">
        <v>-3641</v>
      </c>
      <c r="F47" s="19">
        <v>-3657</v>
      </c>
      <c r="G47" s="22">
        <v>-5424</v>
      </c>
      <c r="H47" s="19">
        <v>-7085</v>
      </c>
      <c r="I47" s="22">
        <v>-7085</v>
      </c>
      <c r="J47" s="19">
        <v>-7085</v>
      </c>
      <c r="K47" s="22">
        <f>611193-19572+2977</f>
        <v>594598</v>
      </c>
      <c r="L47" s="19">
        <f>-59035-26819</f>
        <v>-85854</v>
      </c>
      <c r="M47" s="22">
        <v>-92579</v>
      </c>
      <c r="N47" s="19">
        <v>-92579</v>
      </c>
      <c r="O47" s="19">
        <v>-651267</v>
      </c>
      <c r="P47" s="22">
        <v>-1147840</v>
      </c>
      <c r="Q47" s="19">
        <v>-1148125</v>
      </c>
      <c r="R47" s="22">
        <v>-1143409</v>
      </c>
      <c r="S47" s="19">
        <v>-430189</v>
      </c>
      <c r="T47" s="22">
        <v>-436524</v>
      </c>
      <c r="U47" s="19">
        <v>-436524</v>
      </c>
      <c r="V47" s="22">
        <v>-453669</v>
      </c>
      <c r="W47" s="19">
        <v>-183996</v>
      </c>
      <c r="X47" s="22">
        <v>-211834</v>
      </c>
      <c r="Y47" s="19">
        <v>-211834</v>
      </c>
      <c r="Z47" s="22">
        <v>-211834</v>
      </c>
      <c r="AA47" s="19">
        <v>-522681</v>
      </c>
      <c r="AB47" s="22">
        <v>-526973</v>
      </c>
      <c r="AC47" s="101">
        <v>-527012</v>
      </c>
      <c r="AD47" s="22">
        <v>-527198</v>
      </c>
      <c r="AE47" s="101">
        <v>-45277</v>
      </c>
      <c r="AF47" s="22">
        <v>-48306</v>
      </c>
    </row>
    <row r="48" spans="1:32" s="6" customFormat="1" ht="11.4">
      <c r="A48" s="6" t="s">
        <v>512</v>
      </c>
      <c r="B48" s="13" t="s">
        <v>523</v>
      </c>
      <c r="C48" s="22">
        <v>91224</v>
      </c>
      <c r="D48" s="19">
        <v>179035</v>
      </c>
      <c r="E48" s="22">
        <v>270022</v>
      </c>
      <c r="F48" s="19">
        <v>309648</v>
      </c>
      <c r="G48" s="22">
        <v>80227</v>
      </c>
      <c r="H48" s="19">
        <v>161888</v>
      </c>
      <c r="I48" s="22">
        <v>248827</v>
      </c>
      <c r="J48" s="19">
        <v>575227</v>
      </c>
      <c r="K48" s="22">
        <f>82361-20236</f>
        <v>62125</v>
      </c>
      <c r="L48" s="19">
        <f>182311-20426</f>
        <v>161885</v>
      </c>
      <c r="M48" s="22">
        <v>340061</v>
      </c>
      <c r="N48" s="19">
        <v>471194</v>
      </c>
      <c r="O48" s="19">
        <v>154460</v>
      </c>
      <c r="P48" s="22">
        <v>354293</v>
      </c>
      <c r="Q48" s="19">
        <v>531110</v>
      </c>
      <c r="R48" s="22">
        <v>713373</v>
      </c>
      <c r="S48" s="19">
        <v>122041</v>
      </c>
      <c r="T48" s="22">
        <v>157799</v>
      </c>
      <c r="U48" s="19">
        <v>272739</v>
      </c>
      <c r="V48" s="22">
        <v>248280</v>
      </c>
      <c r="W48" s="19">
        <v>73235</v>
      </c>
      <c r="X48" s="22">
        <v>-513367</v>
      </c>
      <c r="Y48" s="19">
        <v>-431581</v>
      </c>
      <c r="Z48" s="22">
        <v>-311233</v>
      </c>
      <c r="AA48" s="19">
        <v>108094</v>
      </c>
      <c r="AB48" s="22">
        <v>231905</v>
      </c>
      <c r="AC48" s="101">
        <v>382287</v>
      </c>
      <c r="AD48" s="22">
        <v>481925</v>
      </c>
      <c r="AE48" s="101">
        <v>169170</v>
      </c>
      <c r="AF48" s="22">
        <v>385384</v>
      </c>
    </row>
    <row r="49" spans="1:32" s="6" customFormat="1" ht="12" thickBot="1">
      <c r="A49" s="6" t="s">
        <v>192</v>
      </c>
      <c r="B49" s="13" t="s">
        <v>52</v>
      </c>
      <c r="C49" s="22">
        <v>15080</v>
      </c>
      <c r="D49" s="19">
        <v>1560</v>
      </c>
      <c r="E49" s="22">
        <v>1461</v>
      </c>
      <c r="F49" s="19">
        <v>1240</v>
      </c>
      <c r="G49" s="22">
        <v>1114.5291504909401</v>
      </c>
      <c r="H49" s="19">
        <v>987</v>
      </c>
      <c r="I49" s="22">
        <v>985</v>
      </c>
      <c r="J49" s="19">
        <v>979</v>
      </c>
      <c r="K49" s="22">
        <v>1023</v>
      </c>
      <c r="L49" s="19">
        <v>1019</v>
      </c>
      <c r="M49" s="22">
        <v>1109</v>
      </c>
      <c r="N49" s="19">
        <v>1322</v>
      </c>
      <c r="O49" s="19">
        <v>263</v>
      </c>
      <c r="P49" s="22">
        <v>0</v>
      </c>
      <c r="Q49" s="19">
        <v>0</v>
      </c>
      <c r="R49" s="22">
        <v>0</v>
      </c>
      <c r="S49" s="19">
        <v>0</v>
      </c>
      <c r="T49" s="22">
        <v>0</v>
      </c>
      <c r="U49" s="19">
        <v>0</v>
      </c>
      <c r="V49" s="22">
        <v>0</v>
      </c>
      <c r="W49" s="19">
        <v>0</v>
      </c>
      <c r="X49" s="22">
        <v>0</v>
      </c>
      <c r="Y49" s="19">
        <v>0</v>
      </c>
      <c r="Z49" s="22">
        <v>0</v>
      </c>
      <c r="AA49" s="19">
        <v>0</v>
      </c>
      <c r="AB49" s="22">
        <v>0</v>
      </c>
      <c r="AC49" s="101">
        <v>0</v>
      </c>
      <c r="AD49" s="22">
        <v>0</v>
      </c>
      <c r="AE49" s="101">
        <v>0</v>
      </c>
      <c r="AF49" s="22">
        <v>0</v>
      </c>
    </row>
    <row r="50" spans="1:32" s="6" customFormat="1" ht="12" thickBot="1">
      <c r="A50" s="6" t="s">
        <v>193</v>
      </c>
      <c r="B50" s="20" t="s">
        <v>35</v>
      </c>
      <c r="C50" s="23">
        <f t="shared" ref="C50:L50" si="5">SUM(C42:C49)</f>
        <v>3322002</v>
      </c>
      <c r="D50" s="23">
        <f t="shared" si="5"/>
        <v>3345221</v>
      </c>
      <c r="E50" s="23">
        <f t="shared" si="5"/>
        <v>3470336</v>
      </c>
      <c r="F50" s="23">
        <f t="shared" si="5"/>
        <v>3514099</v>
      </c>
      <c r="G50" s="23">
        <f t="shared" si="5"/>
        <v>3601591.5291504911</v>
      </c>
      <c r="H50" s="23">
        <f t="shared" si="5"/>
        <v>5801357</v>
      </c>
      <c r="I50" s="23">
        <f t="shared" si="5"/>
        <v>5877608</v>
      </c>
      <c r="J50" s="23">
        <f t="shared" si="5"/>
        <v>6159862</v>
      </c>
      <c r="K50" s="23">
        <f t="shared" si="5"/>
        <v>6275893</v>
      </c>
      <c r="L50" s="23">
        <f t="shared" si="5"/>
        <v>6341913</v>
      </c>
      <c r="M50" s="23">
        <f>SUM(M42:M49)</f>
        <v>6548668</v>
      </c>
      <c r="N50" s="23">
        <f t="shared" ref="N50:U50" si="6">SUM(N42:N49)</f>
        <v>6690983</v>
      </c>
      <c r="O50" s="23">
        <f t="shared" si="6"/>
        <v>5893623</v>
      </c>
      <c r="P50" s="23">
        <f t="shared" si="6"/>
        <v>6133101</v>
      </c>
      <c r="Q50" s="23">
        <f t="shared" si="6"/>
        <v>6294712</v>
      </c>
      <c r="R50" s="23">
        <f t="shared" si="6"/>
        <v>6485923</v>
      </c>
      <c r="S50" s="23">
        <f t="shared" si="6"/>
        <v>6559312</v>
      </c>
      <c r="T50" s="23">
        <f t="shared" si="6"/>
        <v>6654001</v>
      </c>
      <c r="U50" s="23">
        <f t="shared" si="6"/>
        <v>6779329</v>
      </c>
      <c r="V50" s="23">
        <v>6737368</v>
      </c>
      <c r="W50" s="23">
        <f>W42+W43+W44+W45+W46+W47+W48</f>
        <v>6822312</v>
      </c>
      <c r="X50" s="23">
        <f>X42+X43+X44+X45+X46+X47+X48</f>
        <v>6367351</v>
      </c>
      <c r="Y50" s="23">
        <v>6465676</v>
      </c>
      <c r="Z50" s="23">
        <f t="shared" ref="Z50:AE50" si="7">Z42+Z43+Z44+Z45+Z46+Z47+Z48</f>
        <v>6559602</v>
      </c>
      <c r="AA50" s="23">
        <f t="shared" si="7"/>
        <v>6546108</v>
      </c>
      <c r="AB50" s="23">
        <f t="shared" si="7"/>
        <v>6582188</v>
      </c>
      <c r="AC50" s="23">
        <f t="shared" si="7"/>
        <v>6600662</v>
      </c>
      <c r="AD50" s="23">
        <f t="shared" si="7"/>
        <v>5919202</v>
      </c>
      <c r="AE50" s="23">
        <f t="shared" si="7"/>
        <v>5579675</v>
      </c>
      <c r="AF50" s="23">
        <f t="shared" ref="AF50" si="8">AF42+AF43+AF44+AF45+AF46+AF47+AF48</f>
        <v>5321017</v>
      </c>
    </row>
    <row r="51" spans="1:32" s="6" customFormat="1" ht="12" thickBot="1">
      <c r="A51" s="6" t="s">
        <v>194</v>
      </c>
      <c r="B51" s="20" t="s">
        <v>38</v>
      </c>
      <c r="C51" s="23">
        <f t="shared" ref="C51:U51" si="9">C50+C41</f>
        <v>34886136</v>
      </c>
      <c r="D51" s="23">
        <f t="shared" si="9"/>
        <v>36466760</v>
      </c>
      <c r="E51" s="23">
        <f t="shared" si="9"/>
        <v>37304260</v>
      </c>
      <c r="F51" s="23">
        <f t="shared" si="9"/>
        <v>40003010</v>
      </c>
      <c r="G51" s="23">
        <f t="shared" si="9"/>
        <v>42025694.529150493</v>
      </c>
      <c r="H51" s="23">
        <f t="shared" si="9"/>
        <v>47041752</v>
      </c>
      <c r="I51" s="23">
        <f t="shared" si="9"/>
        <v>46581539</v>
      </c>
      <c r="J51" s="23">
        <f t="shared" si="9"/>
        <v>61160491</v>
      </c>
      <c r="K51" s="23">
        <f t="shared" si="9"/>
        <v>60439837</v>
      </c>
      <c r="L51" s="23">
        <f t="shared" si="9"/>
        <v>61858805</v>
      </c>
      <c r="M51" s="23">
        <f t="shared" si="9"/>
        <v>65062093</v>
      </c>
      <c r="N51" s="23">
        <f t="shared" si="9"/>
        <v>69515982</v>
      </c>
      <c r="O51" s="23">
        <f t="shared" si="9"/>
        <v>70355779</v>
      </c>
      <c r="P51" s="23">
        <f t="shared" si="9"/>
        <v>70337259</v>
      </c>
      <c r="Q51" s="23">
        <f t="shared" si="9"/>
        <v>71167223</v>
      </c>
      <c r="R51" s="23">
        <f t="shared" si="9"/>
        <v>73419887</v>
      </c>
      <c r="S51" s="23">
        <f t="shared" si="9"/>
        <v>74638883</v>
      </c>
      <c r="T51" s="23">
        <f t="shared" si="9"/>
        <v>77058388</v>
      </c>
      <c r="U51" s="23">
        <f t="shared" si="9"/>
        <v>76983674</v>
      </c>
      <c r="V51" s="23">
        <v>76714137</v>
      </c>
      <c r="W51" s="23">
        <f>W41+W50</f>
        <v>76512233</v>
      </c>
      <c r="X51" s="23">
        <f>X41+X50</f>
        <v>77671909</v>
      </c>
      <c r="Y51" s="23">
        <v>77717339</v>
      </c>
      <c r="Z51" s="23">
        <f t="shared" ref="Z51:AE51" si="10">Z41+Z50</f>
        <v>78642032</v>
      </c>
      <c r="AA51" s="23">
        <f t="shared" si="10"/>
        <v>79880618</v>
      </c>
      <c r="AB51" s="23">
        <f t="shared" si="10"/>
        <v>79035095</v>
      </c>
      <c r="AC51" s="23">
        <f t="shared" si="10"/>
        <v>78201942</v>
      </c>
      <c r="AD51" s="23">
        <f t="shared" si="10"/>
        <v>83048372</v>
      </c>
      <c r="AE51" s="23">
        <f t="shared" si="10"/>
        <v>84649724</v>
      </c>
      <c r="AF51" s="23">
        <f t="shared" ref="AF51" si="11">AF41+AF50</f>
        <v>84223458</v>
      </c>
    </row>
    <row r="52" spans="1:32" ht="57.6">
      <c r="V52" s="24" t="s">
        <v>470</v>
      </c>
      <c r="X52" s="24"/>
      <c r="Z52" s="24"/>
      <c r="AA52" s="27"/>
      <c r="AB52" s="83"/>
      <c r="AC52" s="83"/>
    </row>
    <row r="53" spans="1:32" ht="148.80000000000001">
      <c r="V53" s="24" t="s">
        <v>324</v>
      </c>
      <c r="X53" s="24"/>
      <c r="Z53" s="24"/>
      <c r="AA53" s="27"/>
      <c r="AB53" s="83"/>
      <c r="AC53" s="83"/>
    </row>
    <row r="54" spans="1:32">
      <c r="AA54" s="27"/>
    </row>
    <row r="55" spans="1:32">
      <c r="AA55" s="27"/>
    </row>
    <row r="56" spans="1:32">
      <c r="AA56" s="27"/>
    </row>
    <row r="57" spans="1:32" ht="15">
      <c r="V57" s="85"/>
      <c r="AA57" s="27"/>
    </row>
    <row r="58" spans="1:32">
      <c r="AA58" s="27"/>
    </row>
    <row r="59" spans="1:32">
      <c r="AA59" s="2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U217"/>
  <sheetViews>
    <sheetView zoomScaleNormal="100" workbookViewId="0">
      <pane xSplit="3" ySplit="3" topLeftCell="E196" activePane="bottomRight" state="frozen"/>
      <selection pane="topRight" activeCell="D1" sqref="D1"/>
      <selection pane="bottomLeft" activeCell="A4" sqref="A4"/>
      <selection pane="bottomRight" activeCell="C9" sqref="C9"/>
    </sheetView>
  </sheetViews>
  <sheetFormatPr defaultColWidth="10.7109375" defaultRowHeight="13.2"/>
  <cols>
    <col min="1" max="1" width="3.7109375" style="102" customWidth="1"/>
    <col min="2" max="3" width="38.42578125" style="102" customWidth="1"/>
    <col min="4" max="13" width="9.85546875" style="102" bestFit="1" customWidth="1"/>
    <col min="14" max="21" width="11.28515625" style="102" bestFit="1" customWidth="1"/>
    <col min="22" max="16384" width="10.7109375" style="102"/>
  </cols>
  <sheetData>
    <row r="1" spans="2:21" ht="14.1" customHeight="1" thickBot="1"/>
    <row r="2" spans="2:21" ht="13.8" thickBot="1">
      <c r="D2" s="111" t="s">
        <v>428</v>
      </c>
      <c r="E2" s="111" t="s">
        <v>475</v>
      </c>
      <c r="F2" s="111" t="s">
        <v>477</v>
      </c>
      <c r="G2" s="111" t="s">
        <v>479</v>
      </c>
      <c r="H2" s="111" t="s">
        <v>432</v>
      </c>
      <c r="I2" s="111" t="s">
        <v>481</v>
      </c>
      <c r="J2" s="111" t="s">
        <v>483</v>
      </c>
      <c r="K2" s="111" t="s">
        <v>485</v>
      </c>
      <c r="L2" s="111" t="s">
        <v>436</v>
      </c>
      <c r="M2" s="111" t="s">
        <v>487</v>
      </c>
      <c r="N2" s="111" t="s">
        <v>489</v>
      </c>
      <c r="O2" s="111" t="s">
        <v>491</v>
      </c>
      <c r="P2" s="111" t="s">
        <v>440</v>
      </c>
      <c r="Q2" s="111" t="s">
        <v>493</v>
      </c>
      <c r="R2" s="111" t="s">
        <v>495</v>
      </c>
      <c r="S2" s="111" t="s">
        <v>497</v>
      </c>
      <c r="T2" s="111" t="s">
        <v>501</v>
      </c>
      <c r="U2" s="111" t="s">
        <v>505</v>
      </c>
    </row>
    <row r="3" spans="2:21" ht="13.8" thickBot="1">
      <c r="B3" s="103"/>
      <c r="C3" s="103"/>
      <c r="D3" s="111" t="s">
        <v>455</v>
      </c>
      <c r="E3" s="111" t="s">
        <v>476</v>
      </c>
      <c r="F3" s="111" t="s">
        <v>478</v>
      </c>
      <c r="G3" s="111" t="s">
        <v>480</v>
      </c>
      <c r="H3" s="111" t="s">
        <v>459</v>
      </c>
      <c r="I3" s="111" t="s">
        <v>482</v>
      </c>
      <c r="J3" s="111" t="s">
        <v>484</v>
      </c>
      <c r="K3" s="111" t="s">
        <v>486</v>
      </c>
      <c r="L3" s="111" t="s">
        <v>463</v>
      </c>
      <c r="M3" s="111" t="s">
        <v>488</v>
      </c>
      <c r="N3" s="111" t="s">
        <v>490</v>
      </c>
      <c r="O3" s="111" t="s">
        <v>492</v>
      </c>
      <c r="P3" s="111" t="s">
        <v>467</v>
      </c>
      <c r="Q3" s="111" t="s">
        <v>494</v>
      </c>
      <c r="R3" s="111" t="s">
        <v>496</v>
      </c>
      <c r="S3" s="111" t="s">
        <v>498</v>
      </c>
      <c r="T3" s="111" t="s">
        <v>502</v>
      </c>
      <c r="U3" s="111" t="s">
        <v>506</v>
      </c>
    </row>
    <row r="4" spans="2:21">
      <c r="B4" s="104" t="s">
        <v>531</v>
      </c>
      <c r="C4" s="104" t="s">
        <v>351</v>
      </c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</row>
    <row r="5" spans="2:21" s="106" customFormat="1">
      <c r="B5" s="106" t="s">
        <v>352</v>
      </c>
      <c r="C5" s="106" t="s">
        <v>353</v>
      </c>
      <c r="D5" s="107">
        <f t="shared" ref="D5:N5" si="0">D6+D7+D8</f>
        <v>453799</v>
      </c>
      <c r="E5" s="107">
        <f t="shared" si="0"/>
        <v>939902</v>
      </c>
      <c r="F5" s="107">
        <f t="shared" si="0"/>
        <v>1427766</v>
      </c>
      <c r="G5" s="107">
        <f t="shared" si="0"/>
        <v>1911561</v>
      </c>
      <c r="H5" s="107">
        <f t="shared" si="0"/>
        <v>485209</v>
      </c>
      <c r="I5" s="107">
        <f t="shared" si="0"/>
        <v>992206</v>
      </c>
      <c r="J5" s="107">
        <f t="shared" si="0"/>
        <v>1488272</v>
      </c>
      <c r="K5" s="107">
        <f t="shared" si="0"/>
        <v>1838966</v>
      </c>
      <c r="L5" s="107">
        <f t="shared" si="0"/>
        <v>442614</v>
      </c>
      <c r="M5" s="107">
        <f t="shared" si="0"/>
        <v>855722</v>
      </c>
      <c r="N5" s="107">
        <f t="shared" si="0"/>
        <v>1268211</v>
      </c>
      <c r="O5" s="107">
        <f t="shared" ref="O5:T5" si="1">O6+O7+O8</f>
        <v>1672832</v>
      </c>
      <c r="P5" s="107">
        <f t="shared" si="1"/>
        <v>420645</v>
      </c>
      <c r="Q5" s="107">
        <f t="shared" si="1"/>
        <v>842180</v>
      </c>
      <c r="R5" s="107">
        <f t="shared" si="1"/>
        <v>1301396</v>
      </c>
      <c r="S5" s="107">
        <f t="shared" si="1"/>
        <v>1799566</v>
      </c>
      <c r="T5" s="107">
        <f t="shared" si="1"/>
        <v>582288</v>
      </c>
      <c r="U5" s="107">
        <f t="shared" ref="U5" si="2">U6+U7+U8</f>
        <v>1270294</v>
      </c>
    </row>
    <row r="6" spans="2:21">
      <c r="B6" s="102" t="s">
        <v>354</v>
      </c>
      <c r="C6" s="102" t="s">
        <v>355</v>
      </c>
      <c r="D6" s="108">
        <v>552693</v>
      </c>
      <c r="E6" s="108">
        <v>1124426</v>
      </c>
      <c r="F6" s="108">
        <v>1710199</v>
      </c>
      <c r="G6" s="108">
        <v>2303068</v>
      </c>
      <c r="H6" s="108">
        <v>607621</v>
      </c>
      <c r="I6" s="108">
        <v>1237595</v>
      </c>
      <c r="J6" s="108">
        <v>1833398</v>
      </c>
      <c r="K6" s="108">
        <v>2323700</v>
      </c>
      <c r="L6" s="108">
        <v>555446</v>
      </c>
      <c r="M6" s="108">
        <v>1033049</v>
      </c>
      <c r="N6" s="108">
        <v>1498562</v>
      </c>
      <c r="O6" s="108">
        <v>1924348</v>
      </c>
      <c r="P6" s="108">
        <v>435640</v>
      </c>
      <c r="Q6" s="108">
        <v>865030</v>
      </c>
      <c r="R6" s="108">
        <v>1330546</v>
      </c>
      <c r="S6" s="108">
        <v>1848262</v>
      </c>
      <c r="T6" s="108">
        <v>631639</v>
      </c>
      <c r="U6" s="108">
        <v>1411723</v>
      </c>
    </row>
    <row r="7" spans="2:21">
      <c r="B7" s="102" t="s">
        <v>356</v>
      </c>
      <c r="C7" s="102" t="s">
        <v>357</v>
      </c>
      <c r="D7" s="108">
        <v>0</v>
      </c>
      <c r="E7" s="108">
        <v>0</v>
      </c>
      <c r="F7" s="108">
        <v>0</v>
      </c>
      <c r="G7" s="108">
        <v>0</v>
      </c>
      <c r="H7" s="108">
        <v>0</v>
      </c>
      <c r="I7" s="108">
        <v>0</v>
      </c>
      <c r="J7" s="108">
        <v>0</v>
      </c>
      <c r="K7" s="102">
        <v>0</v>
      </c>
      <c r="L7" s="102">
        <v>0</v>
      </c>
      <c r="M7" s="108">
        <v>0</v>
      </c>
      <c r="N7" s="108">
        <v>0</v>
      </c>
      <c r="O7" s="102">
        <v>0</v>
      </c>
      <c r="P7" s="102">
        <v>0</v>
      </c>
      <c r="Q7" s="108">
        <v>0</v>
      </c>
      <c r="R7" s="108">
        <v>0</v>
      </c>
      <c r="S7" s="108">
        <v>0</v>
      </c>
      <c r="T7" s="102">
        <v>0</v>
      </c>
      <c r="U7" s="108">
        <v>0</v>
      </c>
    </row>
    <row r="8" spans="2:21">
      <c r="B8" s="102" t="s">
        <v>358</v>
      </c>
      <c r="C8" s="102" t="s">
        <v>359</v>
      </c>
      <c r="D8" s="108">
        <v>-98894</v>
      </c>
      <c r="E8" s="108">
        <v>-184524</v>
      </c>
      <c r="F8" s="108">
        <v>-282433</v>
      </c>
      <c r="G8" s="108">
        <v>-391507</v>
      </c>
      <c r="H8" s="108">
        <v>-122412</v>
      </c>
      <c r="I8" s="108">
        <v>-245389</v>
      </c>
      <c r="J8" s="108">
        <v>-345126</v>
      </c>
      <c r="K8" s="108">
        <v>-484734</v>
      </c>
      <c r="L8" s="108">
        <v>-112832</v>
      </c>
      <c r="M8" s="108">
        <v>-177327</v>
      </c>
      <c r="N8" s="108">
        <v>-230351</v>
      </c>
      <c r="O8" s="108">
        <v>-251516</v>
      </c>
      <c r="P8" s="108">
        <v>-14995</v>
      </c>
      <c r="Q8" s="108">
        <v>-22850</v>
      </c>
      <c r="R8" s="108">
        <v>-29150</v>
      </c>
      <c r="S8" s="108">
        <v>-48696</v>
      </c>
      <c r="T8" s="108">
        <v>-49351</v>
      </c>
      <c r="U8" s="108">
        <v>-141429</v>
      </c>
    </row>
    <row r="9" spans="2:21">
      <c r="B9" s="106" t="s">
        <v>360</v>
      </c>
      <c r="C9" s="106" t="s">
        <v>361</v>
      </c>
      <c r="D9" s="107">
        <f t="shared" ref="D9:N9" si="3">D10+D11</f>
        <v>29306</v>
      </c>
      <c r="E9" s="107">
        <f t="shared" si="3"/>
        <v>60261</v>
      </c>
      <c r="F9" s="107">
        <f t="shared" si="3"/>
        <v>113708</v>
      </c>
      <c r="G9" s="107">
        <f t="shared" si="3"/>
        <v>10820</v>
      </c>
      <c r="H9" s="107">
        <f t="shared" si="3"/>
        <v>28460</v>
      </c>
      <c r="I9" s="107">
        <f t="shared" si="3"/>
        <v>59568</v>
      </c>
      <c r="J9" s="107">
        <f t="shared" si="3"/>
        <v>88879</v>
      </c>
      <c r="K9" s="107">
        <f t="shared" si="3"/>
        <v>142553</v>
      </c>
      <c r="L9" s="107">
        <f t="shared" si="3"/>
        <v>26434</v>
      </c>
      <c r="M9" s="107">
        <f t="shared" si="3"/>
        <v>25320</v>
      </c>
      <c r="N9" s="107">
        <f t="shared" si="3"/>
        <v>32845</v>
      </c>
      <c r="O9" s="107">
        <f>O10+O11</f>
        <v>37523</v>
      </c>
      <c r="P9" s="107">
        <f>P10+P11</f>
        <v>2428</v>
      </c>
      <c r="Q9" s="107">
        <f>Q10+Q11</f>
        <v>18042</v>
      </c>
      <c r="R9" s="107">
        <f>R10+R11</f>
        <v>23678</v>
      </c>
      <c r="S9" s="107">
        <v>87801</v>
      </c>
      <c r="T9" s="107">
        <f>T10+T11</f>
        <v>39666</v>
      </c>
      <c r="U9" s="107">
        <f>U10+U11</f>
        <v>135569</v>
      </c>
    </row>
    <row r="10" spans="2:21">
      <c r="B10" s="102" t="s">
        <v>362</v>
      </c>
      <c r="C10" s="102" t="s">
        <v>363</v>
      </c>
      <c r="D10" s="108">
        <v>255913</v>
      </c>
      <c r="E10" s="108">
        <v>521940</v>
      </c>
      <c r="F10" s="108">
        <v>813312</v>
      </c>
      <c r="G10" s="108">
        <v>881571</v>
      </c>
      <c r="H10" s="108">
        <v>251703</v>
      </c>
      <c r="I10" s="108">
        <v>511873</v>
      </c>
      <c r="J10" s="108">
        <v>774845</v>
      </c>
      <c r="K10" s="108">
        <v>1065874</v>
      </c>
      <c r="L10" s="108">
        <v>263746</v>
      </c>
      <c r="M10" s="108">
        <v>416203</v>
      </c>
      <c r="N10" s="108">
        <v>544104</v>
      </c>
      <c r="O10" s="108">
        <v>659380</v>
      </c>
      <c r="P10" s="108">
        <v>108307</v>
      </c>
      <c r="Q10" s="108">
        <v>188538</v>
      </c>
      <c r="R10" s="108">
        <v>281431</v>
      </c>
      <c r="S10" s="108">
        <v>476824</v>
      </c>
      <c r="T10" s="108">
        <v>311796</v>
      </c>
      <c r="U10" s="108">
        <v>865796</v>
      </c>
    </row>
    <row r="11" spans="2:21">
      <c r="B11" s="102" t="s">
        <v>364</v>
      </c>
      <c r="C11" s="102" t="s">
        <v>365</v>
      </c>
      <c r="D11" s="108">
        <v>-226607</v>
      </c>
      <c r="E11" s="108">
        <v>-461679</v>
      </c>
      <c r="F11" s="108">
        <v>-699604</v>
      </c>
      <c r="G11" s="108">
        <v>-870751</v>
      </c>
      <c r="H11" s="108">
        <v>-223243</v>
      </c>
      <c r="I11" s="108">
        <v>-452305</v>
      </c>
      <c r="J11" s="108">
        <v>-685966</v>
      </c>
      <c r="K11" s="108">
        <v>-923321</v>
      </c>
      <c r="L11" s="108">
        <v>-237312</v>
      </c>
      <c r="M11" s="108">
        <v>-390883</v>
      </c>
      <c r="N11" s="108">
        <v>-511259</v>
      </c>
      <c r="O11" s="108">
        <v>-621857</v>
      </c>
      <c r="P11" s="108">
        <v>-105879</v>
      </c>
      <c r="Q11" s="108">
        <v>-170496</v>
      </c>
      <c r="R11" s="108">
        <v>-257753</v>
      </c>
      <c r="S11" s="108">
        <v>-389023</v>
      </c>
      <c r="T11" s="108">
        <v>-272130</v>
      </c>
      <c r="U11" s="108">
        <v>-730227</v>
      </c>
    </row>
    <row r="12" spans="2:21">
      <c r="B12" s="106" t="s">
        <v>204</v>
      </c>
      <c r="C12" s="106" t="s">
        <v>2</v>
      </c>
      <c r="D12" s="107">
        <f t="shared" ref="D12:N12" si="4">D5+D9</f>
        <v>483105</v>
      </c>
      <c r="E12" s="107">
        <f t="shared" si="4"/>
        <v>1000163</v>
      </c>
      <c r="F12" s="107">
        <f t="shared" si="4"/>
        <v>1541474</v>
      </c>
      <c r="G12" s="107">
        <f t="shared" si="4"/>
        <v>1922381</v>
      </c>
      <c r="H12" s="107">
        <f t="shared" si="4"/>
        <v>513669</v>
      </c>
      <c r="I12" s="107">
        <f t="shared" si="4"/>
        <v>1051774</v>
      </c>
      <c r="J12" s="107">
        <f t="shared" si="4"/>
        <v>1577151</v>
      </c>
      <c r="K12" s="107">
        <f t="shared" si="4"/>
        <v>1981519</v>
      </c>
      <c r="L12" s="107">
        <f t="shared" si="4"/>
        <v>469048</v>
      </c>
      <c r="M12" s="107">
        <f t="shared" si="4"/>
        <v>881042</v>
      </c>
      <c r="N12" s="107">
        <f t="shared" si="4"/>
        <v>1301056</v>
      </c>
      <c r="O12" s="107">
        <f t="shared" ref="O12:T12" si="5">O5+O9</f>
        <v>1710355</v>
      </c>
      <c r="P12" s="107">
        <f t="shared" si="5"/>
        <v>423073</v>
      </c>
      <c r="Q12" s="107">
        <f t="shared" si="5"/>
        <v>860222</v>
      </c>
      <c r="R12" s="107">
        <f t="shared" si="5"/>
        <v>1325074</v>
      </c>
      <c r="S12" s="107">
        <f t="shared" si="5"/>
        <v>1887367</v>
      </c>
      <c r="T12" s="107">
        <f t="shared" si="5"/>
        <v>621954</v>
      </c>
      <c r="U12" s="107">
        <f t="shared" ref="U12" si="6">U5+U9</f>
        <v>1405863</v>
      </c>
    </row>
    <row r="13" spans="2:21">
      <c r="B13" s="102" t="s">
        <v>205</v>
      </c>
      <c r="C13" s="102" t="s">
        <v>366</v>
      </c>
      <c r="D13" s="108">
        <v>115214</v>
      </c>
      <c r="E13" s="108">
        <v>226043</v>
      </c>
      <c r="F13" s="108">
        <v>343772</v>
      </c>
      <c r="G13" s="108">
        <v>454745</v>
      </c>
      <c r="H13" s="108">
        <v>100655</v>
      </c>
      <c r="I13" s="108">
        <v>201941</v>
      </c>
      <c r="J13" s="108">
        <v>309753</v>
      </c>
      <c r="K13" s="108">
        <v>415511</v>
      </c>
      <c r="L13" s="108">
        <v>108053</v>
      </c>
      <c r="M13" s="108">
        <v>213801</v>
      </c>
      <c r="N13" s="108">
        <v>333487</v>
      </c>
      <c r="O13" s="108">
        <v>444244</v>
      </c>
      <c r="P13" s="108">
        <v>110007</v>
      </c>
      <c r="Q13" s="108">
        <v>222224</v>
      </c>
      <c r="R13" s="108">
        <v>341813</v>
      </c>
      <c r="S13" s="108">
        <v>457081.98863000004</v>
      </c>
      <c r="T13" s="108">
        <v>118871</v>
      </c>
      <c r="U13" s="108">
        <v>239811</v>
      </c>
    </row>
    <row r="14" spans="2:21">
      <c r="B14" s="102" t="s">
        <v>206</v>
      </c>
      <c r="C14" s="102" t="s">
        <v>367</v>
      </c>
      <c r="D14" s="108">
        <v>-40658</v>
      </c>
      <c r="E14" s="108">
        <v>-85950</v>
      </c>
      <c r="F14" s="108">
        <v>-130450</v>
      </c>
      <c r="G14" s="108">
        <v>-174023</v>
      </c>
      <c r="H14" s="108">
        <v>-41223</v>
      </c>
      <c r="I14" s="108">
        <v>-88353</v>
      </c>
      <c r="J14" s="108">
        <v>-137448</v>
      </c>
      <c r="K14" s="108">
        <v>-195115</v>
      </c>
      <c r="L14" s="108">
        <v>-51458</v>
      </c>
      <c r="M14" s="108">
        <v>-108487</v>
      </c>
      <c r="N14" s="108">
        <v>-159666</v>
      </c>
      <c r="O14" s="108">
        <v>-207278</v>
      </c>
      <c r="P14" s="108">
        <v>-47133</v>
      </c>
      <c r="Q14" s="108">
        <v>-95186</v>
      </c>
      <c r="R14" s="108">
        <v>-145396</v>
      </c>
      <c r="S14" s="108">
        <v>-192838</v>
      </c>
      <c r="T14" s="108">
        <v>-48059</v>
      </c>
      <c r="U14" s="108">
        <v>-95182</v>
      </c>
    </row>
    <row r="15" spans="2:21">
      <c r="B15" s="106" t="s">
        <v>207</v>
      </c>
      <c r="C15" s="106" t="s">
        <v>13</v>
      </c>
      <c r="D15" s="107">
        <f t="shared" ref="D15:N15" si="7">D13+D14</f>
        <v>74556</v>
      </c>
      <c r="E15" s="107">
        <f t="shared" si="7"/>
        <v>140093</v>
      </c>
      <c r="F15" s="107">
        <f t="shared" si="7"/>
        <v>213322</v>
      </c>
      <c r="G15" s="107">
        <f t="shared" si="7"/>
        <v>280722</v>
      </c>
      <c r="H15" s="107">
        <f t="shared" si="7"/>
        <v>59432</v>
      </c>
      <c r="I15" s="107">
        <f t="shared" si="7"/>
        <v>113588</v>
      </c>
      <c r="J15" s="107">
        <f t="shared" si="7"/>
        <v>172305</v>
      </c>
      <c r="K15" s="107">
        <f t="shared" si="7"/>
        <v>220396</v>
      </c>
      <c r="L15" s="107">
        <f t="shared" si="7"/>
        <v>56595</v>
      </c>
      <c r="M15" s="107">
        <f t="shared" si="7"/>
        <v>105314</v>
      </c>
      <c r="N15" s="107">
        <f t="shared" si="7"/>
        <v>173821</v>
      </c>
      <c r="O15" s="107">
        <f t="shared" ref="O15:T15" si="8">O13+O14</f>
        <v>236966</v>
      </c>
      <c r="P15" s="107">
        <f t="shared" si="8"/>
        <v>62874</v>
      </c>
      <c r="Q15" s="107">
        <f t="shared" si="8"/>
        <v>127038</v>
      </c>
      <c r="R15" s="107">
        <f t="shared" si="8"/>
        <v>196417</v>
      </c>
      <c r="S15" s="107">
        <f t="shared" si="8"/>
        <v>264243.98863000004</v>
      </c>
      <c r="T15" s="107">
        <f t="shared" si="8"/>
        <v>70812</v>
      </c>
      <c r="U15" s="107">
        <f t="shared" ref="U15" si="9">U13+U14</f>
        <v>144629</v>
      </c>
    </row>
    <row r="16" spans="2:21">
      <c r="B16" s="102" t="s">
        <v>208</v>
      </c>
      <c r="C16" s="102" t="s">
        <v>3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</row>
    <row r="17" spans="2:21">
      <c r="B17" s="102" t="s">
        <v>209</v>
      </c>
      <c r="C17" s="102" t="s">
        <v>18</v>
      </c>
      <c r="D17" s="108">
        <v>1122</v>
      </c>
      <c r="E17" s="108">
        <v>2481</v>
      </c>
      <c r="F17" s="108">
        <v>3652</v>
      </c>
      <c r="G17" s="108">
        <v>4770</v>
      </c>
      <c r="H17" s="108">
        <v>1481</v>
      </c>
      <c r="I17" s="108">
        <v>2851</v>
      </c>
      <c r="J17" s="108">
        <v>4355</v>
      </c>
      <c r="K17" s="108">
        <v>5716</v>
      </c>
      <c r="L17" s="108">
        <v>1058</v>
      </c>
      <c r="M17" s="108">
        <v>599</v>
      </c>
      <c r="N17" s="108">
        <v>914</v>
      </c>
      <c r="O17" s="108">
        <v>2943</v>
      </c>
      <c r="P17" s="102">
        <v>369</v>
      </c>
      <c r="Q17" s="108">
        <v>1849</v>
      </c>
      <c r="R17" s="108">
        <v>2196</v>
      </c>
      <c r="S17" s="108">
        <v>3836</v>
      </c>
      <c r="T17" s="102">
        <v>72</v>
      </c>
      <c r="U17" s="108">
        <v>278</v>
      </c>
    </row>
    <row r="18" spans="2:21" s="106" customFormat="1">
      <c r="B18" s="106" t="s">
        <v>210</v>
      </c>
      <c r="C18" s="106" t="s">
        <v>368</v>
      </c>
      <c r="D18" s="107">
        <f t="shared" ref="D18:N18" si="10">D19+D20</f>
        <v>0</v>
      </c>
      <c r="E18" s="107">
        <f t="shared" si="10"/>
        <v>0</v>
      </c>
      <c r="F18" s="107">
        <f t="shared" si="10"/>
        <v>0</v>
      </c>
      <c r="G18" s="107">
        <f t="shared" si="10"/>
        <v>0</v>
      </c>
      <c r="H18" s="107">
        <f t="shared" si="10"/>
        <v>0</v>
      </c>
      <c r="I18" s="107">
        <f t="shared" si="10"/>
        <v>0</v>
      </c>
      <c r="J18" s="107">
        <f t="shared" si="10"/>
        <v>0</v>
      </c>
      <c r="K18" s="106">
        <f t="shared" si="10"/>
        <v>0</v>
      </c>
      <c r="L18" s="106">
        <f t="shared" si="10"/>
        <v>0</v>
      </c>
      <c r="M18" s="107">
        <f t="shared" si="10"/>
        <v>0</v>
      </c>
      <c r="N18" s="107">
        <f t="shared" si="10"/>
        <v>0</v>
      </c>
      <c r="O18" s="106">
        <f t="shared" ref="O18:T18" si="11">O19+O20</f>
        <v>0</v>
      </c>
      <c r="P18" s="106">
        <f t="shared" si="11"/>
        <v>0</v>
      </c>
      <c r="Q18" s="107">
        <f t="shared" si="11"/>
        <v>0</v>
      </c>
      <c r="R18" s="107">
        <f t="shared" si="11"/>
        <v>0</v>
      </c>
      <c r="S18" s="107">
        <f t="shared" si="11"/>
        <v>0</v>
      </c>
      <c r="T18" s="106">
        <f t="shared" si="11"/>
        <v>0</v>
      </c>
      <c r="U18" s="107">
        <f t="shared" ref="U18" si="12">U19+U20</f>
        <v>0</v>
      </c>
    </row>
    <row r="19" spans="2:21">
      <c r="B19" s="102" t="s">
        <v>211</v>
      </c>
      <c r="C19" s="102" t="s">
        <v>369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2">
        <v>0</v>
      </c>
      <c r="Q19" s="108">
        <v>0</v>
      </c>
      <c r="R19" s="108">
        <v>0</v>
      </c>
      <c r="S19" s="108">
        <v>0</v>
      </c>
      <c r="T19" s="102">
        <v>0</v>
      </c>
      <c r="U19" s="108">
        <v>0</v>
      </c>
    </row>
    <row r="20" spans="2:21">
      <c r="B20" s="102" t="s">
        <v>212</v>
      </c>
      <c r="C20" s="102" t="s">
        <v>15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2">
        <v>0</v>
      </c>
      <c r="Q20" s="108">
        <v>0</v>
      </c>
      <c r="R20" s="108">
        <v>0</v>
      </c>
      <c r="S20" s="108">
        <v>0</v>
      </c>
      <c r="T20" s="102">
        <v>0</v>
      </c>
      <c r="U20" s="108">
        <v>0</v>
      </c>
    </row>
    <row r="21" spans="2:21">
      <c r="B21" s="102" t="s">
        <v>213</v>
      </c>
      <c r="C21" s="102" t="s">
        <v>7</v>
      </c>
      <c r="D21" s="108">
        <v>34910</v>
      </c>
      <c r="E21" s="108">
        <v>74203</v>
      </c>
      <c r="F21" s="108">
        <v>75027</v>
      </c>
      <c r="G21" s="108">
        <v>98380</v>
      </c>
      <c r="H21" s="108">
        <v>30071</v>
      </c>
      <c r="I21" s="108">
        <v>56018</v>
      </c>
      <c r="J21" s="108">
        <v>86582</v>
      </c>
      <c r="K21" s="108">
        <v>118818</v>
      </c>
      <c r="L21" s="108">
        <v>31428</v>
      </c>
      <c r="M21" s="108">
        <v>47368</v>
      </c>
      <c r="N21" s="108">
        <v>73267</v>
      </c>
      <c r="O21" s="108">
        <v>102790</v>
      </c>
      <c r="P21" s="108">
        <v>35510</v>
      </c>
      <c r="Q21" s="108">
        <v>58197</v>
      </c>
      <c r="R21" s="108">
        <v>84113</v>
      </c>
      <c r="S21" s="108">
        <v>111711</v>
      </c>
      <c r="T21" s="108">
        <v>25882</v>
      </c>
      <c r="U21" s="108">
        <v>47952</v>
      </c>
    </row>
    <row r="22" spans="2:21">
      <c r="B22" s="102" t="s">
        <v>370</v>
      </c>
      <c r="C22" s="102" t="s">
        <v>8</v>
      </c>
      <c r="D22" s="108">
        <v>-15555</v>
      </c>
      <c r="E22" s="108">
        <v>-33978</v>
      </c>
      <c r="F22" s="108">
        <v>-64714</v>
      </c>
      <c r="G22" s="108">
        <v>-116212</v>
      </c>
      <c r="H22" s="108">
        <v>-15727</v>
      </c>
      <c r="I22" s="108">
        <v>-36440</v>
      </c>
      <c r="J22" s="108">
        <v>-99235</v>
      </c>
      <c r="K22" s="108">
        <v>-301689</v>
      </c>
      <c r="L22" s="108">
        <v>-16651</v>
      </c>
      <c r="M22" s="108">
        <v>-131662</v>
      </c>
      <c r="N22" s="108">
        <v>-144478</v>
      </c>
      <c r="O22" s="108">
        <v>-197485</v>
      </c>
      <c r="P22" s="108">
        <v>-15993</v>
      </c>
      <c r="Q22" s="108">
        <v>-34061</v>
      </c>
      <c r="R22" s="108">
        <v>-68769</v>
      </c>
      <c r="S22" s="108">
        <v>-138508</v>
      </c>
      <c r="T22" s="108">
        <v>-23741</v>
      </c>
      <c r="U22" s="108">
        <v>-39101</v>
      </c>
    </row>
    <row r="23" spans="2:21">
      <c r="B23" s="106" t="s">
        <v>371</v>
      </c>
      <c r="C23" s="106" t="s">
        <v>9</v>
      </c>
      <c r="D23" s="107">
        <f t="shared" ref="D23:N23" si="13">D21+D22</f>
        <v>19355</v>
      </c>
      <c r="E23" s="107">
        <f t="shared" si="13"/>
        <v>40225</v>
      </c>
      <c r="F23" s="107">
        <f t="shared" si="13"/>
        <v>10313</v>
      </c>
      <c r="G23" s="107">
        <f t="shared" si="13"/>
        <v>-17832</v>
      </c>
      <c r="H23" s="107">
        <f t="shared" si="13"/>
        <v>14344</v>
      </c>
      <c r="I23" s="107">
        <f t="shared" si="13"/>
        <v>19578</v>
      </c>
      <c r="J23" s="107">
        <f t="shared" si="13"/>
        <v>-12653</v>
      </c>
      <c r="K23" s="107">
        <f t="shared" si="13"/>
        <v>-182871</v>
      </c>
      <c r="L23" s="107">
        <f t="shared" si="13"/>
        <v>14777</v>
      </c>
      <c r="M23" s="107">
        <f t="shared" si="13"/>
        <v>-84294</v>
      </c>
      <c r="N23" s="107">
        <f t="shared" si="13"/>
        <v>-71211</v>
      </c>
      <c r="O23" s="107">
        <f>O21+O22</f>
        <v>-94695</v>
      </c>
      <c r="P23" s="107">
        <f>P21+P22</f>
        <v>19517</v>
      </c>
      <c r="Q23" s="107">
        <f>Q21+Q22</f>
        <v>24136</v>
      </c>
      <c r="R23" s="107">
        <f>R21+R22</f>
        <v>15344</v>
      </c>
      <c r="S23" s="107">
        <f>S21+S22</f>
        <v>-26797</v>
      </c>
      <c r="T23" s="107">
        <v>2141</v>
      </c>
      <c r="U23" s="107">
        <f>U21+U22</f>
        <v>8851</v>
      </c>
    </row>
    <row r="24" spans="2:21">
      <c r="B24" s="128" t="s">
        <v>528</v>
      </c>
      <c r="C24" s="106" t="s">
        <v>524</v>
      </c>
      <c r="D24" s="107">
        <f>D12+D15+D18+D23+D17</f>
        <v>578138</v>
      </c>
      <c r="E24" s="107">
        <f t="shared" ref="E24:O24" si="14">E12+E15+E18+E23+E17+E16</f>
        <v>1182962</v>
      </c>
      <c r="F24" s="107">
        <f t="shared" si="14"/>
        <v>1768761</v>
      </c>
      <c r="G24" s="107">
        <f t="shared" si="14"/>
        <v>2190041</v>
      </c>
      <c r="H24" s="107">
        <f t="shared" si="14"/>
        <v>588926</v>
      </c>
      <c r="I24" s="107">
        <f t="shared" si="14"/>
        <v>1187791</v>
      </c>
      <c r="J24" s="107">
        <f t="shared" si="14"/>
        <v>1741158</v>
      </c>
      <c r="K24" s="107">
        <f t="shared" si="14"/>
        <v>2024760</v>
      </c>
      <c r="L24" s="107">
        <f t="shared" si="14"/>
        <v>541478</v>
      </c>
      <c r="M24" s="107">
        <f t="shared" si="14"/>
        <v>902661</v>
      </c>
      <c r="N24" s="107">
        <f t="shared" si="14"/>
        <v>1404580</v>
      </c>
      <c r="O24" s="107">
        <f t="shared" si="14"/>
        <v>1855569</v>
      </c>
      <c r="P24" s="107">
        <f t="shared" ref="P24:U24" si="15">P12+P15+P18+P23+P17+P16</f>
        <v>505833</v>
      </c>
      <c r="Q24" s="107">
        <f t="shared" si="15"/>
        <v>1013245</v>
      </c>
      <c r="R24" s="107">
        <f t="shared" si="15"/>
        <v>1539031</v>
      </c>
      <c r="S24" s="107">
        <f t="shared" si="15"/>
        <v>2128649.98863</v>
      </c>
      <c r="T24" s="107">
        <f t="shared" si="15"/>
        <v>694979</v>
      </c>
      <c r="U24" s="107">
        <f t="shared" si="15"/>
        <v>1559621</v>
      </c>
    </row>
    <row r="25" spans="2:21">
      <c r="B25" s="102" t="s">
        <v>346</v>
      </c>
      <c r="C25" s="102" t="s">
        <v>372</v>
      </c>
      <c r="D25" s="108">
        <v>-136789</v>
      </c>
      <c r="E25" s="108">
        <v>-229482</v>
      </c>
      <c r="F25" s="108">
        <v>-354646</v>
      </c>
      <c r="G25" s="108">
        <v>-418713.51863854355</v>
      </c>
      <c r="H25" s="108">
        <v>-99164</v>
      </c>
      <c r="I25" s="108">
        <v>-226394</v>
      </c>
      <c r="J25" s="108">
        <v>-371687</v>
      </c>
      <c r="K25" s="108">
        <v>-515458</v>
      </c>
      <c r="L25" s="108">
        <v>-144978</v>
      </c>
      <c r="M25" s="108">
        <v>-412759</v>
      </c>
      <c r="N25" s="108">
        <v>-573455</v>
      </c>
      <c r="O25" s="108">
        <v>-715996</v>
      </c>
      <c r="P25" s="108">
        <v>-103082</v>
      </c>
      <c r="Q25" s="108">
        <v>-177240</v>
      </c>
      <c r="R25" s="108">
        <v>-273871</v>
      </c>
      <c r="S25" s="108">
        <v>-293339</v>
      </c>
      <c r="T25" s="108">
        <v>-110499</v>
      </c>
      <c r="U25" s="108">
        <v>-230591</v>
      </c>
    </row>
    <row r="26" spans="2:21">
      <c r="B26" s="102" t="s">
        <v>373</v>
      </c>
      <c r="C26" s="102" t="s">
        <v>347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-64400</v>
      </c>
      <c r="N26" s="108">
        <v>-64400</v>
      </c>
      <c r="O26" s="108">
        <v>-104368</v>
      </c>
      <c r="P26" s="108">
        <v>0</v>
      </c>
      <c r="Q26" s="108">
        <v>0</v>
      </c>
      <c r="R26" s="108">
        <v>0</v>
      </c>
      <c r="S26" s="108">
        <v>-4947</v>
      </c>
      <c r="T26" s="108">
        <v>-30901</v>
      </c>
      <c r="U26" s="108">
        <v>-30901</v>
      </c>
    </row>
    <row r="27" spans="2:21">
      <c r="B27" s="102" t="s">
        <v>474</v>
      </c>
      <c r="C27" s="102" t="s">
        <v>473</v>
      </c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>
        <v>-311</v>
      </c>
      <c r="P27" s="108"/>
      <c r="Q27" s="108"/>
      <c r="R27" s="108"/>
      <c r="S27" s="108">
        <v>-21386</v>
      </c>
      <c r="T27" s="108">
        <v>-23197</v>
      </c>
      <c r="U27" s="108">
        <v>-24438</v>
      </c>
    </row>
    <row r="28" spans="2:21">
      <c r="B28" s="106" t="s">
        <v>529</v>
      </c>
      <c r="C28" s="106" t="s">
        <v>525</v>
      </c>
      <c r="D28" s="107">
        <f t="shared" ref="D28" si="16">D24+D25+D26+D27</f>
        <v>441349</v>
      </c>
      <c r="E28" s="107">
        <f t="shared" ref="E28" si="17">E24+E25+E26+E27</f>
        <v>953480</v>
      </c>
      <c r="F28" s="107">
        <f t="shared" ref="F28" si="18">F24+F25+F26+F27</f>
        <v>1414115</v>
      </c>
      <c r="G28" s="107">
        <f t="shared" ref="G28" si="19">G24+G25+G26+G27</f>
        <v>1771327.4813614564</v>
      </c>
      <c r="H28" s="107">
        <f t="shared" ref="H28" si="20">H24+H25+H26+H27</f>
        <v>489762</v>
      </c>
      <c r="I28" s="107">
        <f t="shared" ref="I28" si="21">I24+I25+I26+I27</f>
        <v>961397</v>
      </c>
      <c r="J28" s="107">
        <f t="shared" ref="J28" si="22">J24+J25+J26+J27</f>
        <v>1369471</v>
      </c>
      <c r="K28" s="107">
        <f t="shared" ref="K28" si="23">K24+K25+K26+K27</f>
        <v>1509302</v>
      </c>
      <c r="L28" s="107">
        <f t="shared" ref="L28" si="24">L24+L25+L26+L27</f>
        <v>396500</v>
      </c>
      <c r="M28" s="107">
        <f t="shared" ref="M28" si="25">M24+M25+M26+M27</f>
        <v>425502</v>
      </c>
      <c r="N28" s="107">
        <f t="shared" ref="N28:R28" si="26">N24+N25+N26+N27</f>
        <v>766725</v>
      </c>
      <c r="O28" s="107">
        <f t="shared" si="26"/>
        <v>1034894</v>
      </c>
      <c r="P28" s="107">
        <f t="shared" si="26"/>
        <v>402751</v>
      </c>
      <c r="Q28" s="107">
        <f t="shared" si="26"/>
        <v>836005</v>
      </c>
      <c r="R28" s="107">
        <f t="shared" si="26"/>
        <v>1265160</v>
      </c>
      <c r="S28" s="107">
        <f>S24+S25+S26+S27</f>
        <v>1808977.98863</v>
      </c>
      <c r="T28" s="107">
        <f t="shared" ref="T28:U28" si="27">T24+T25+T26+T27</f>
        <v>530382</v>
      </c>
      <c r="U28" s="107">
        <f t="shared" si="27"/>
        <v>1273691</v>
      </c>
    </row>
    <row r="29" spans="2:21">
      <c r="B29" s="102" t="s">
        <v>216</v>
      </c>
      <c r="C29" s="102" t="s">
        <v>325</v>
      </c>
      <c r="D29" s="108">
        <v>-371916</v>
      </c>
      <c r="E29" s="108">
        <v>-724004</v>
      </c>
      <c r="F29" s="108">
        <v>-1069568</v>
      </c>
      <c r="G29" s="108">
        <v>-1408577</v>
      </c>
      <c r="H29" s="108">
        <v>-390657</v>
      </c>
      <c r="I29" s="108">
        <v>-690771</v>
      </c>
      <c r="J29" s="108">
        <v>-984902</v>
      </c>
      <c r="K29" s="108">
        <v>-1260106</v>
      </c>
      <c r="L29" s="108">
        <v>-348012</v>
      </c>
      <c r="M29" s="108">
        <v>-646056</v>
      </c>
      <c r="N29" s="108">
        <v>-963223</v>
      </c>
      <c r="O29" s="108">
        <v>-1257395</v>
      </c>
      <c r="P29" s="108">
        <v>-326496</v>
      </c>
      <c r="Q29" s="108">
        <v>-639766</v>
      </c>
      <c r="R29" s="108">
        <v>-981600</v>
      </c>
      <c r="S29" s="108">
        <v>-1320748</v>
      </c>
      <c r="T29" s="108">
        <v>-395505</v>
      </c>
      <c r="U29" s="108">
        <v>-875303</v>
      </c>
    </row>
    <row r="30" spans="2:21">
      <c r="B30" s="106" t="s">
        <v>218</v>
      </c>
      <c r="C30" s="106" t="s">
        <v>526</v>
      </c>
      <c r="D30" s="107">
        <f t="shared" ref="D30:N30" si="28">D28+D29</f>
        <v>69433</v>
      </c>
      <c r="E30" s="107">
        <f t="shared" si="28"/>
        <v>229476</v>
      </c>
      <c r="F30" s="107">
        <f t="shared" si="28"/>
        <v>344547</v>
      </c>
      <c r="G30" s="107">
        <f t="shared" si="28"/>
        <v>362750.48136145645</v>
      </c>
      <c r="H30" s="107">
        <f t="shared" si="28"/>
        <v>99105</v>
      </c>
      <c r="I30" s="107">
        <f t="shared" si="28"/>
        <v>270626</v>
      </c>
      <c r="J30" s="107">
        <f t="shared" si="28"/>
        <v>384569</v>
      </c>
      <c r="K30" s="107">
        <f t="shared" si="28"/>
        <v>249196</v>
      </c>
      <c r="L30" s="107">
        <f t="shared" si="28"/>
        <v>48488</v>
      </c>
      <c r="M30" s="107">
        <f t="shared" si="28"/>
        <v>-220554</v>
      </c>
      <c r="N30" s="107">
        <f t="shared" si="28"/>
        <v>-196498</v>
      </c>
      <c r="O30" s="107">
        <f t="shared" ref="O30:T30" si="29">O28+O29</f>
        <v>-222501</v>
      </c>
      <c r="P30" s="107">
        <f t="shared" si="29"/>
        <v>76255</v>
      </c>
      <c r="Q30" s="107">
        <f t="shared" si="29"/>
        <v>196239</v>
      </c>
      <c r="R30" s="107">
        <f t="shared" si="29"/>
        <v>283560</v>
      </c>
      <c r="S30" s="107">
        <f t="shared" si="29"/>
        <v>488229.98863000004</v>
      </c>
      <c r="T30" s="107">
        <f t="shared" si="29"/>
        <v>134877</v>
      </c>
      <c r="U30" s="107">
        <f t="shared" ref="U30" si="30">U28+U29</f>
        <v>398388</v>
      </c>
    </row>
    <row r="31" spans="2:21">
      <c r="B31" s="102" t="s">
        <v>219</v>
      </c>
      <c r="C31" s="102" t="s">
        <v>10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</row>
    <row r="32" spans="2:21" s="106" customFormat="1">
      <c r="B32" s="106" t="s">
        <v>530</v>
      </c>
      <c r="C32" s="106" t="s">
        <v>527</v>
      </c>
      <c r="D32" s="107">
        <f t="shared" ref="D32:N32" si="31">D30+D31</f>
        <v>69433</v>
      </c>
      <c r="E32" s="107">
        <f t="shared" si="31"/>
        <v>229476</v>
      </c>
      <c r="F32" s="107">
        <f t="shared" si="31"/>
        <v>344547</v>
      </c>
      <c r="G32" s="107">
        <f t="shared" si="31"/>
        <v>362750.48136145645</v>
      </c>
      <c r="H32" s="107">
        <f t="shared" si="31"/>
        <v>99105</v>
      </c>
      <c r="I32" s="107">
        <f t="shared" si="31"/>
        <v>270626</v>
      </c>
      <c r="J32" s="107">
        <f t="shared" si="31"/>
        <v>384569</v>
      </c>
      <c r="K32" s="107">
        <f t="shared" si="31"/>
        <v>249196</v>
      </c>
      <c r="L32" s="107">
        <f t="shared" si="31"/>
        <v>48488</v>
      </c>
      <c r="M32" s="107">
        <f t="shared" si="31"/>
        <v>-220554</v>
      </c>
      <c r="N32" s="107">
        <f t="shared" si="31"/>
        <v>-196498</v>
      </c>
      <c r="O32" s="107">
        <f t="shared" ref="O32:T32" si="32">O30+O31</f>
        <v>-222501</v>
      </c>
      <c r="P32" s="107">
        <f t="shared" si="32"/>
        <v>76255</v>
      </c>
      <c r="Q32" s="107">
        <f t="shared" si="32"/>
        <v>196239</v>
      </c>
      <c r="R32" s="107">
        <f t="shared" si="32"/>
        <v>283560</v>
      </c>
      <c r="S32" s="107">
        <f t="shared" si="32"/>
        <v>488229.98863000004</v>
      </c>
      <c r="T32" s="107">
        <f t="shared" si="32"/>
        <v>134877</v>
      </c>
      <c r="U32" s="107">
        <f t="shared" ref="U32" si="33">U30+U31</f>
        <v>398388</v>
      </c>
    </row>
    <row r="33" spans="2:21" s="106" customFormat="1">
      <c r="B33" s="102" t="s">
        <v>500</v>
      </c>
      <c r="C33" s="102" t="s">
        <v>331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08">
        <v>0</v>
      </c>
      <c r="U33" s="108">
        <v>0</v>
      </c>
    </row>
    <row r="34" spans="2:21">
      <c r="B34" s="106" t="s">
        <v>499</v>
      </c>
      <c r="C34" s="106" t="s">
        <v>374</v>
      </c>
      <c r="D34" s="107">
        <f>D32+D33</f>
        <v>69433</v>
      </c>
      <c r="E34" s="107">
        <f t="shared" ref="E34:R34" si="34">E32+E33</f>
        <v>229476</v>
      </c>
      <c r="F34" s="107">
        <f t="shared" si="34"/>
        <v>344547</v>
      </c>
      <c r="G34" s="107">
        <f t="shared" si="34"/>
        <v>362750.48136145645</v>
      </c>
      <c r="H34" s="107">
        <f t="shared" si="34"/>
        <v>99105</v>
      </c>
      <c r="I34" s="107">
        <f t="shared" si="34"/>
        <v>270626</v>
      </c>
      <c r="J34" s="107">
        <f t="shared" si="34"/>
        <v>384569</v>
      </c>
      <c r="K34" s="107">
        <f t="shared" si="34"/>
        <v>249196</v>
      </c>
      <c r="L34" s="107">
        <f t="shared" si="34"/>
        <v>48488</v>
      </c>
      <c r="M34" s="107">
        <f t="shared" si="34"/>
        <v>-220554</v>
      </c>
      <c r="N34" s="107">
        <f t="shared" si="34"/>
        <v>-196498</v>
      </c>
      <c r="O34" s="107">
        <f t="shared" si="34"/>
        <v>-222501</v>
      </c>
      <c r="P34" s="107">
        <f t="shared" si="34"/>
        <v>76255</v>
      </c>
      <c r="Q34" s="107">
        <f t="shared" si="34"/>
        <v>196239</v>
      </c>
      <c r="R34" s="107">
        <f t="shared" si="34"/>
        <v>283560</v>
      </c>
      <c r="S34" s="107">
        <f>S32+S33</f>
        <v>488229.98863000004</v>
      </c>
      <c r="T34" s="107">
        <f t="shared" ref="T34:U34" si="35">T32+T33</f>
        <v>134877</v>
      </c>
      <c r="U34" s="107">
        <f t="shared" si="35"/>
        <v>398388</v>
      </c>
    </row>
    <row r="35" spans="2:21">
      <c r="B35" s="102" t="s">
        <v>375</v>
      </c>
      <c r="C35" s="102" t="s">
        <v>135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2">
        <v>0</v>
      </c>
      <c r="L35" s="102">
        <v>0</v>
      </c>
      <c r="M35" s="108">
        <v>0</v>
      </c>
      <c r="N35" s="108">
        <v>0</v>
      </c>
      <c r="O35" s="102">
        <v>0</v>
      </c>
      <c r="P35" s="102">
        <v>0</v>
      </c>
      <c r="Q35" s="108">
        <v>0</v>
      </c>
      <c r="R35" s="108">
        <v>0</v>
      </c>
      <c r="S35" s="108">
        <v>0</v>
      </c>
      <c r="T35" s="102">
        <v>0</v>
      </c>
      <c r="U35" s="108">
        <v>0</v>
      </c>
    </row>
    <row r="36" spans="2:21">
      <c r="B36" s="102" t="s">
        <v>376</v>
      </c>
      <c r="C36" s="102" t="s">
        <v>37</v>
      </c>
      <c r="D36" s="108">
        <v>41278975</v>
      </c>
      <c r="E36" s="108">
        <v>40887185</v>
      </c>
      <c r="F36" s="108">
        <v>41226087</v>
      </c>
      <c r="G36" s="108">
        <v>42794828</v>
      </c>
      <c r="H36" s="108">
        <v>42388747</v>
      </c>
      <c r="I36" s="108">
        <v>43482677</v>
      </c>
      <c r="J36" s="108">
        <v>44048961</v>
      </c>
      <c r="K36" s="108">
        <v>45210209</v>
      </c>
      <c r="L36" s="108">
        <v>44888609</v>
      </c>
      <c r="M36" s="108">
        <v>46326999</v>
      </c>
      <c r="N36" s="108">
        <v>47173807</v>
      </c>
      <c r="O36" s="108">
        <v>48425983</v>
      </c>
      <c r="P36" s="108">
        <v>49973793</v>
      </c>
      <c r="Q36" s="108">
        <v>49626522</v>
      </c>
      <c r="R36" s="108">
        <v>49727319</v>
      </c>
      <c r="S36" s="108">
        <v>54051971</v>
      </c>
      <c r="T36" s="108">
        <v>54629051</v>
      </c>
      <c r="U36" s="108">
        <v>54182803</v>
      </c>
    </row>
    <row r="37" spans="2:21">
      <c r="B37" s="102" t="s">
        <v>377</v>
      </c>
      <c r="C37" s="102" t="s">
        <v>378</v>
      </c>
      <c r="D37" s="108">
        <v>41946920</v>
      </c>
      <c r="E37" s="108">
        <v>42513735</v>
      </c>
      <c r="F37" s="108">
        <v>44323397</v>
      </c>
      <c r="G37" s="108">
        <v>47060665</v>
      </c>
      <c r="H37" s="108">
        <v>49030071</v>
      </c>
      <c r="I37" s="108">
        <v>49167740</v>
      </c>
      <c r="J37" s="108">
        <v>50332648</v>
      </c>
      <c r="K37" s="108">
        <v>49977603</v>
      </c>
      <c r="L37" s="108">
        <v>50326241</v>
      </c>
      <c r="M37" s="108">
        <v>49663017</v>
      </c>
      <c r="N37" s="108">
        <v>48834206</v>
      </c>
      <c r="O37" s="108">
        <v>48999933</v>
      </c>
      <c r="P37" s="108">
        <v>49992738</v>
      </c>
      <c r="Q37" s="108">
        <v>49595458</v>
      </c>
      <c r="R37" s="108">
        <v>49509468</v>
      </c>
      <c r="S37" s="108">
        <v>52740711</v>
      </c>
      <c r="T37" s="108">
        <v>55271113</v>
      </c>
      <c r="U37" s="108">
        <v>55495277</v>
      </c>
    </row>
    <row r="38" spans="2:21">
      <c r="N38" s="108"/>
    </row>
    <row r="39" spans="2:21">
      <c r="B39" s="104" t="s">
        <v>379</v>
      </c>
      <c r="C39" s="104" t="s">
        <v>380</v>
      </c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9"/>
      <c r="O39" s="105"/>
      <c r="P39" s="105"/>
      <c r="Q39" s="105"/>
      <c r="R39" s="105"/>
      <c r="S39" s="105"/>
      <c r="T39" s="105"/>
      <c r="U39" s="105"/>
    </row>
    <row r="40" spans="2:21">
      <c r="B40" s="106" t="s">
        <v>352</v>
      </c>
      <c r="C40" s="106" t="s">
        <v>353</v>
      </c>
      <c r="D40" s="107">
        <f t="shared" ref="D40:O40" si="36">D41+D42+D43</f>
        <v>251882</v>
      </c>
      <c r="E40" s="107">
        <f t="shared" si="36"/>
        <v>506682</v>
      </c>
      <c r="F40" s="107">
        <f t="shared" si="36"/>
        <v>749626</v>
      </c>
      <c r="G40" s="107">
        <f t="shared" si="36"/>
        <v>1048487</v>
      </c>
      <c r="H40" s="107">
        <f t="shared" si="36"/>
        <v>280165</v>
      </c>
      <c r="I40" s="107">
        <f t="shared" si="36"/>
        <v>575058</v>
      </c>
      <c r="J40" s="107">
        <f t="shared" si="36"/>
        <v>896384</v>
      </c>
      <c r="K40" s="107">
        <f t="shared" si="36"/>
        <v>1171536</v>
      </c>
      <c r="L40" s="107">
        <f t="shared" si="36"/>
        <v>283052</v>
      </c>
      <c r="M40" s="107">
        <f t="shared" si="36"/>
        <v>535914</v>
      </c>
      <c r="N40" s="107">
        <f t="shared" si="36"/>
        <v>726673</v>
      </c>
      <c r="O40" s="107">
        <f t="shared" si="36"/>
        <v>990616</v>
      </c>
      <c r="P40" s="107">
        <f t="shared" ref="P40:U40" si="37">P41+P42+P43</f>
        <v>221788</v>
      </c>
      <c r="Q40" s="107">
        <f t="shared" si="37"/>
        <v>437313</v>
      </c>
      <c r="R40" s="107">
        <f t="shared" si="37"/>
        <v>652880</v>
      </c>
      <c r="S40" s="107">
        <f t="shared" si="37"/>
        <v>878963</v>
      </c>
      <c r="T40" s="107">
        <f t="shared" si="37"/>
        <v>281445</v>
      </c>
      <c r="U40" s="107">
        <f t="shared" si="37"/>
        <v>638047</v>
      </c>
    </row>
    <row r="41" spans="2:21">
      <c r="B41" s="102" t="s">
        <v>354</v>
      </c>
      <c r="C41" s="102" t="s">
        <v>355</v>
      </c>
      <c r="D41" s="108">
        <v>297159</v>
      </c>
      <c r="E41" s="108">
        <v>598789</v>
      </c>
      <c r="F41" s="108">
        <v>878541</v>
      </c>
      <c r="G41" s="108">
        <v>1223181</v>
      </c>
      <c r="H41" s="108">
        <v>309933</v>
      </c>
      <c r="I41" s="108">
        <v>634916</v>
      </c>
      <c r="J41" s="108">
        <v>989010</v>
      </c>
      <c r="K41" s="108">
        <v>1301607</v>
      </c>
      <c r="L41" s="108">
        <v>303852</v>
      </c>
      <c r="M41" s="108">
        <v>569137</v>
      </c>
      <c r="N41" s="108">
        <v>774339</v>
      </c>
      <c r="O41" s="108">
        <v>1036742</v>
      </c>
      <c r="P41" s="108">
        <v>226932</v>
      </c>
      <c r="Q41" s="108">
        <v>446168</v>
      </c>
      <c r="R41" s="108">
        <v>665573</v>
      </c>
      <c r="S41" s="108">
        <v>900624</v>
      </c>
      <c r="T41" s="108">
        <v>300849</v>
      </c>
      <c r="U41" s="108">
        <v>697703</v>
      </c>
    </row>
    <row r="42" spans="2:21">
      <c r="B42" s="102" t="s">
        <v>356</v>
      </c>
      <c r="C42" s="102" t="s">
        <v>357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2">
        <v>0</v>
      </c>
      <c r="L42" s="102">
        <v>0</v>
      </c>
      <c r="M42" s="108">
        <v>0</v>
      </c>
      <c r="N42" s="108">
        <v>0</v>
      </c>
      <c r="O42" s="102">
        <v>0</v>
      </c>
      <c r="P42" s="102">
        <v>0</v>
      </c>
      <c r="Q42" s="108">
        <v>0</v>
      </c>
      <c r="R42" s="108">
        <v>0</v>
      </c>
      <c r="S42" s="108">
        <v>0</v>
      </c>
      <c r="T42" s="102">
        <v>0</v>
      </c>
      <c r="U42" s="108">
        <v>0</v>
      </c>
    </row>
    <row r="43" spans="2:21">
      <c r="B43" s="102" t="s">
        <v>358</v>
      </c>
      <c r="C43" s="102" t="s">
        <v>359</v>
      </c>
      <c r="D43" s="108">
        <v>-45277</v>
      </c>
      <c r="E43" s="108">
        <v>-92107</v>
      </c>
      <c r="F43" s="108">
        <v>-128915</v>
      </c>
      <c r="G43" s="108">
        <v>-174694</v>
      </c>
      <c r="H43" s="108">
        <v>-29768</v>
      </c>
      <c r="I43" s="108">
        <v>-59858</v>
      </c>
      <c r="J43" s="108">
        <v>-92626</v>
      </c>
      <c r="K43" s="108">
        <v>-130071</v>
      </c>
      <c r="L43" s="108">
        <v>-20800</v>
      </c>
      <c r="M43" s="108">
        <v>-33223</v>
      </c>
      <c r="N43" s="108">
        <v>-47666</v>
      </c>
      <c r="O43" s="108">
        <v>-46126</v>
      </c>
      <c r="P43" s="108">
        <v>-5144</v>
      </c>
      <c r="Q43" s="108">
        <v>-8855</v>
      </c>
      <c r="R43" s="108">
        <v>-12693</v>
      </c>
      <c r="S43" s="108">
        <v>-21661</v>
      </c>
      <c r="T43" s="108">
        <v>-19404</v>
      </c>
      <c r="U43" s="108">
        <v>-59656</v>
      </c>
    </row>
    <row r="44" spans="2:21">
      <c r="B44" s="106" t="s">
        <v>360</v>
      </c>
      <c r="C44" s="106" t="s">
        <v>361</v>
      </c>
      <c r="D44" s="107">
        <f t="shared" ref="D44:N44" si="38">D45+D46</f>
        <v>-19956</v>
      </c>
      <c r="E44" s="107">
        <f t="shared" si="38"/>
        <v>-34581</v>
      </c>
      <c r="F44" s="107">
        <f t="shared" si="38"/>
        <v>-68522</v>
      </c>
      <c r="G44" s="107">
        <f t="shared" si="38"/>
        <v>-186915</v>
      </c>
      <c r="H44" s="107">
        <f t="shared" si="38"/>
        <v>-65432</v>
      </c>
      <c r="I44" s="107">
        <f t="shared" si="38"/>
        <v>-138302</v>
      </c>
      <c r="J44" s="107">
        <f t="shared" si="38"/>
        <v>-205411</v>
      </c>
      <c r="K44" s="107">
        <f t="shared" si="38"/>
        <v>-271436</v>
      </c>
      <c r="L44" s="107">
        <f t="shared" si="38"/>
        <v>-68784</v>
      </c>
      <c r="M44" s="107">
        <f t="shared" si="38"/>
        <v>-113043</v>
      </c>
      <c r="N44" s="107">
        <f t="shared" si="38"/>
        <v>-125529</v>
      </c>
      <c r="O44" s="107">
        <f t="shared" ref="O44:T44" si="39">O45+O46</f>
        <v>-135911</v>
      </c>
      <c r="P44" s="107">
        <f t="shared" si="39"/>
        <v>-12717</v>
      </c>
      <c r="Q44" s="107">
        <f t="shared" si="39"/>
        <v>-16828</v>
      </c>
      <c r="R44" s="107">
        <f t="shared" si="39"/>
        <v>-26037</v>
      </c>
      <c r="S44" s="107">
        <f t="shared" si="39"/>
        <v>-29888</v>
      </c>
      <c r="T44" s="107">
        <f t="shared" si="39"/>
        <v>-30810</v>
      </c>
      <c r="U44" s="107">
        <f t="shared" ref="U44" si="40">U45+U46</f>
        <v>-89158</v>
      </c>
    </row>
    <row r="45" spans="2:21">
      <c r="B45" s="102" t="s">
        <v>362</v>
      </c>
      <c r="C45" s="102" t="s">
        <v>363</v>
      </c>
      <c r="D45" s="108">
        <v>101867</v>
      </c>
      <c r="E45" s="108">
        <v>213306</v>
      </c>
      <c r="F45" s="108">
        <v>310989</v>
      </c>
      <c r="G45" s="108">
        <v>383850</v>
      </c>
      <c r="H45" s="108">
        <v>90225</v>
      </c>
      <c r="I45" s="108">
        <v>181319</v>
      </c>
      <c r="J45" s="108">
        <v>280179</v>
      </c>
      <c r="K45" s="108">
        <v>375540</v>
      </c>
      <c r="L45" s="108">
        <v>83229</v>
      </c>
      <c r="M45" s="108">
        <v>130122</v>
      </c>
      <c r="N45" s="108">
        <v>169768</v>
      </c>
      <c r="O45" s="108">
        <v>208334</v>
      </c>
      <c r="P45" s="108">
        <v>39825</v>
      </c>
      <c r="Q45" s="108">
        <v>53675</v>
      </c>
      <c r="R45" s="108">
        <v>80249</v>
      </c>
      <c r="S45" s="108">
        <v>150730</v>
      </c>
      <c r="T45" s="108">
        <v>124856</v>
      </c>
      <c r="U45" s="108">
        <v>340065</v>
      </c>
    </row>
    <row r="46" spans="2:21">
      <c r="B46" s="102" t="s">
        <v>364</v>
      </c>
      <c r="C46" s="102" t="s">
        <v>365</v>
      </c>
      <c r="D46" s="108">
        <v>-121823</v>
      </c>
      <c r="E46" s="108">
        <v>-247887</v>
      </c>
      <c r="F46" s="108">
        <v>-379511</v>
      </c>
      <c r="G46" s="108">
        <v>-570765</v>
      </c>
      <c r="H46" s="108">
        <v>-155657</v>
      </c>
      <c r="I46" s="108">
        <v>-319621</v>
      </c>
      <c r="J46" s="108">
        <v>-485590</v>
      </c>
      <c r="K46" s="108">
        <v>-646976</v>
      </c>
      <c r="L46" s="108">
        <v>-152013</v>
      </c>
      <c r="M46" s="108">
        <v>-243165</v>
      </c>
      <c r="N46" s="108">
        <v>-295297</v>
      </c>
      <c r="O46" s="108">
        <v>-344245</v>
      </c>
      <c r="P46" s="108">
        <v>-52542</v>
      </c>
      <c r="Q46" s="108">
        <v>-70503</v>
      </c>
      <c r="R46" s="108">
        <v>-106286</v>
      </c>
      <c r="S46" s="108">
        <v>-180618</v>
      </c>
      <c r="T46" s="108">
        <v>-155666</v>
      </c>
      <c r="U46" s="108">
        <v>-429223</v>
      </c>
    </row>
    <row r="47" spans="2:21">
      <c r="B47" s="106" t="s">
        <v>204</v>
      </c>
      <c r="C47" s="106" t="s">
        <v>2</v>
      </c>
      <c r="D47" s="107">
        <f t="shared" ref="D47:N47" si="41">D40+D44</f>
        <v>231926</v>
      </c>
      <c r="E47" s="107">
        <f t="shared" si="41"/>
        <v>472101</v>
      </c>
      <c r="F47" s="107">
        <f t="shared" si="41"/>
        <v>681104</v>
      </c>
      <c r="G47" s="107">
        <f t="shared" si="41"/>
        <v>861572</v>
      </c>
      <c r="H47" s="107">
        <f t="shared" si="41"/>
        <v>214733</v>
      </c>
      <c r="I47" s="107">
        <f t="shared" si="41"/>
        <v>436756</v>
      </c>
      <c r="J47" s="107">
        <f t="shared" si="41"/>
        <v>690973</v>
      </c>
      <c r="K47" s="107">
        <f t="shared" si="41"/>
        <v>900100</v>
      </c>
      <c r="L47" s="107">
        <f t="shared" si="41"/>
        <v>214268</v>
      </c>
      <c r="M47" s="107">
        <f t="shared" si="41"/>
        <v>422871</v>
      </c>
      <c r="N47" s="107">
        <f t="shared" si="41"/>
        <v>601144</v>
      </c>
      <c r="O47" s="107">
        <f t="shared" ref="O47:T47" si="42">O40+O44</f>
        <v>854705</v>
      </c>
      <c r="P47" s="107">
        <f t="shared" si="42"/>
        <v>209071</v>
      </c>
      <c r="Q47" s="107">
        <f t="shared" si="42"/>
        <v>420485</v>
      </c>
      <c r="R47" s="107">
        <f t="shared" si="42"/>
        <v>626843</v>
      </c>
      <c r="S47" s="107">
        <f t="shared" si="42"/>
        <v>849075</v>
      </c>
      <c r="T47" s="107">
        <f t="shared" si="42"/>
        <v>250635</v>
      </c>
      <c r="U47" s="107">
        <f t="shared" ref="U47" si="43">U40+U44</f>
        <v>548889</v>
      </c>
    </row>
    <row r="48" spans="2:21">
      <c r="B48" s="102" t="s">
        <v>205</v>
      </c>
      <c r="C48" s="102" t="s">
        <v>366</v>
      </c>
      <c r="D48" s="108">
        <v>147218</v>
      </c>
      <c r="E48" s="108">
        <v>294768</v>
      </c>
      <c r="F48" s="108">
        <v>458337</v>
      </c>
      <c r="G48" s="108">
        <v>632102</v>
      </c>
      <c r="H48" s="108">
        <v>162585</v>
      </c>
      <c r="I48" s="108">
        <v>341579</v>
      </c>
      <c r="J48" s="108">
        <v>532253</v>
      </c>
      <c r="K48" s="108">
        <v>729128</v>
      </c>
      <c r="L48" s="108">
        <v>186091</v>
      </c>
      <c r="M48" s="108">
        <v>373873</v>
      </c>
      <c r="N48" s="108">
        <v>588473</v>
      </c>
      <c r="O48" s="108">
        <v>811486</v>
      </c>
      <c r="P48" s="108">
        <v>215137</v>
      </c>
      <c r="Q48" s="108">
        <v>458719</v>
      </c>
      <c r="R48" s="108">
        <v>732618</v>
      </c>
      <c r="S48" s="108">
        <v>1012240</v>
      </c>
      <c r="T48" s="108">
        <v>268456</v>
      </c>
      <c r="U48" s="108">
        <v>575348</v>
      </c>
    </row>
    <row r="49" spans="2:21">
      <c r="B49" s="102" t="s">
        <v>206</v>
      </c>
      <c r="C49" s="102" t="s">
        <v>367</v>
      </c>
      <c r="D49" s="108">
        <v>-44881</v>
      </c>
      <c r="E49" s="108">
        <v>-91921</v>
      </c>
      <c r="F49" s="108">
        <v>-150133</v>
      </c>
      <c r="G49" s="108">
        <v>-206979</v>
      </c>
      <c r="H49" s="108">
        <v>-54223</v>
      </c>
      <c r="I49" s="108">
        <v>-132686</v>
      </c>
      <c r="J49" s="108">
        <v>-213814</v>
      </c>
      <c r="K49" s="108">
        <v>-296694</v>
      </c>
      <c r="L49" s="108">
        <v>-81401</v>
      </c>
      <c r="M49" s="108">
        <v>-162445</v>
      </c>
      <c r="N49" s="108">
        <v>-270133</v>
      </c>
      <c r="O49" s="108">
        <v>-366572</v>
      </c>
      <c r="P49" s="108">
        <v>-90171</v>
      </c>
      <c r="Q49" s="108">
        <v>-202193</v>
      </c>
      <c r="R49" s="108">
        <v>-341086</v>
      </c>
      <c r="S49" s="108">
        <v>-475203</v>
      </c>
      <c r="T49" s="108">
        <v>-130856</v>
      </c>
      <c r="U49" s="108">
        <v>-293510</v>
      </c>
    </row>
    <row r="50" spans="2:21">
      <c r="B50" s="106" t="s">
        <v>207</v>
      </c>
      <c r="C50" s="106" t="s">
        <v>13</v>
      </c>
      <c r="D50" s="107">
        <f t="shared" ref="D50:N50" si="44">D48+D49</f>
        <v>102337</v>
      </c>
      <c r="E50" s="107">
        <f t="shared" si="44"/>
        <v>202847</v>
      </c>
      <c r="F50" s="107">
        <f t="shared" si="44"/>
        <v>308204</v>
      </c>
      <c r="G50" s="107">
        <f t="shared" si="44"/>
        <v>425123</v>
      </c>
      <c r="H50" s="107">
        <f t="shared" si="44"/>
        <v>108362</v>
      </c>
      <c r="I50" s="107">
        <f t="shared" si="44"/>
        <v>208893</v>
      </c>
      <c r="J50" s="107">
        <f t="shared" si="44"/>
        <v>318439</v>
      </c>
      <c r="K50" s="107">
        <f t="shared" si="44"/>
        <v>432434</v>
      </c>
      <c r="L50" s="107">
        <f t="shared" si="44"/>
        <v>104690</v>
      </c>
      <c r="M50" s="107">
        <f t="shared" si="44"/>
        <v>211428</v>
      </c>
      <c r="N50" s="107">
        <f t="shared" si="44"/>
        <v>318340</v>
      </c>
      <c r="O50" s="107">
        <f t="shared" ref="O50:T50" si="45">O48+O49</f>
        <v>444914</v>
      </c>
      <c r="P50" s="107">
        <f t="shared" si="45"/>
        <v>124966</v>
      </c>
      <c r="Q50" s="107">
        <f t="shared" si="45"/>
        <v>256526</v>
      </c>
      <c r="R50" s="107">
        <f t="shared" si="45"/>
        <v>391532</v>
      </c>
      <c r="S50" s="107">
        <f t="shared" si="45"/>
        <v>537037</v>
      </c>
      <c r="T50" s="107">
        <f t="shared" si="45"/>
        <v>137600</v>
      </c>
      <c r="U50" s="107">
        <f t="shared" ref="U50" si="46">U48+U49</f>
        <v>281838</v>
      </c>
    </row>
    <row r="51" spans="2:21">
      <c r="B51" s="102" t="s">
        <v>208</v>
      </c>
      <c r="C51" s="102" t="s">
        <v>3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</row>
    <row r="52" spans="2:21">
      <c r="B52" s="102" t="s">
        <v>209</v>
      </c>
      <c r="C52" s="102" t="s">
        <v>18</v>
      </c>
      <c r="D52" s="108">
        <v>15279</v>
      </c>
      <c r="E52" s="108">
        <v>46027</v>
      </c>
      <c r="F52" s="108">
        <v>66371</v>
      </c>
      <c r="G52" s="108">
        <v>82037</v>
      </c>
      <c r="H52" s="108">
        <v>14138</v>
      </c>
      <c r="I52" s="108">
        <v>22377</v>
      </c>
      <c r="J52" s="108">
        <v>36691</v>
      </c>
      <c r="K52" s="108">
        <v>52097</v>
      </c>
      <c r="L52" s="108">
        <v>10111</v>
      </c>
      <c r="M52" s="108">
        <v>14598</v>
      </c>
      <c r="N52" s="108">
        <v>18466</v>
      </c>
      <c r="O52" s="108">
        <v>27370</v>
      </c>
      <c r="P52" s="108">
        <v>4778</v>
      </c>
      <c r="Q52" s="108">
        <v>7216</v>
      </c>
      <c r="R52" s="108">
        <v>9222</v>
      </c>
      <c r="S52" s="108">
        <v>13163</v>
      </c>
      <c r="T52" s="108">
        <v>12489</v>
      </c>
      <c r="U52" s="108">
        <v>17493</v>
      </c>
    </row>
    <row r="53" spans="2:21">
      <c r="B53" s="106" t="s">
        <v>210</v>
      </c>
      <c r="C53" s="106" t="s">
        <v>368</v>
      </c>
      <c r="D53" s="107">
        <v>0</v>
      </c>
      <c r="E53" s="107">
        <f t="shared" ref="E53:N53" si="47">E54+E55</f>
        <v>0</v>
      </c>
      <c r="F53" s="107">
        <f t="shared" si="47"/>
        <v>0</v>
      </c>
      <c r="G53" s="107">
        <f t="shared" si="47"/>
        <v>0</v>
      </c>
      <c r="H53" s="107">
        <f t="shared" si="47"/>
        <v>0</v>
      </c>
      <c r="I53" s="107">
        <f t="shared" si="47"/>
        <v>0</v>
      </c>
      <c r="J53" s="107">
        <f t="shared" si="47"/>
        <v>0</v>
      </c>
      <c r="K53" s="106">
        <f t="shared" si="47"/>
        <v>0</v>
      </c>
      <c r="L53" s="106">
        <f t="shared" si="47"/>
        <v>0</v>
      </c>
      <c r="M53" s="107">
        <f t="shared" si="47"/>
        <v>0</v>
      </c>
      <c r="N53" s="107">
        <f t="shared" si="47"/>
        <v>0</v>
      </c>
      <c r="O53" s="106">
        <f t="shared" ref="O53:T53" si="48">O54+O55</f>
        <v>0</v>
      </c>
      <c r="P53" s="106">
        <f t="shared" si="48"/>
        <v>0</v>
      </c>
      <c r="Q53" s="107">
        <f t="shared" si="48"/>
        <v>0</v>
      </c>
      <c r="R53" s="107">
        <f t="shared" si="48"/>
        <v>0</v>
      </c>
      <c r="S53" s="107">
        <f t="shared" si="48"/>
        <v>0</v>
      </c>
      <c r="T53" s="106">
        <f t="shared" si="48"/>
        <v>0</v>
      </c>
      <c r="U53" s="107">
        <f t="shared" ref="U53" si="49">U54+U55</f>
        <v>0</v>
      </c>
    </row>
    <row r="54" spans="2:21">
      <c r="B54" s="102" t="s">
        <v>211</v>
      </c>
      <c r="C54" s="102" t="s">
        <v>369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v>0</v>
      </c>
      <c r="R54" s="108">
        <v>0</v>
      </c>
      <c r="S54" s="108">
        <v>0</v>
      </c>
      <c r="T54" s="108">
        <v>0</v>
      </c>
      <c r="U54" s="108">
        <v>0</v>
      </c>
    </row>
    <row r="55" spans="2:21">
      <c r="B55" s="102" t="s">
        <v>212</v>
      </c>
      <c r="C55" s="102" t="s">
        <v>15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8">
        <v>0</v>
      </c>
      <c r="S55" s="108">
        <v>0</v>
      </c>
      <c r="T55" s="108">
        <v>0</v>
      </c>
      <c r="U55" s="108">
        <v>0</v>
      </c>
    </row>
    <row r="56" spans="2:21">
      <c r="B56" s="102" t="s">
        <v>213</v>
      </c>
      <c r="C56" s="102" t="s">
        <v>7</v>
      </c>
      <c r="D56" s="108">
        <v>14045</v>
      </c>
      <c r="E56" s="108">
        <v>470</v>
      </c>
      <c r="F56" s="108">
        <v>19533</v>
      </c>
      <c r="G56" s="108">
        <v>28665</v>
      </c>
      <c r="H56" s="108">
        <v>3341</v>
      </c>
      <c r="I56" s="108">
        <v>8202</v>
      </c>
      <c r="J56" s="108">
        <v>14045</v>
      </c>
      <c r="K56" s="108">
        <v>24648</v>
      </c>
      <c r="L56" s="108">
        <v>10187</v>
      </c>
      <c r="M56" s="108">
        <v>20848</v>
      </c>
      <c r="N56" s="108">
        <v>26387</v>
      </c>
      <c r="O56" s="108">
        <v>34249</v>
      </c>
      <c r="P56" s="108">
        <v>11577</v>
      </c>
      <c r="Q56" s="108">
        <v>19056</v>
      </c>
      <c r="R56" s="108">
        <v>28032</v>
      </c>
      <c r="S56" s="108">
        <v>35776</v>
      </c>
      <c r="T56" s="108">
        <v>5654</v>
      </c>
      <c r="U56" s="108">
        <v>14040</v>
      </c>
    </row>
    <row r="57" spans="2:21">
      <c r="B57" s="102" t="s">
        <v>370</v>
      </c>
      <c r="C57" s="102" t="s">
        <v>8</v>
      </c>
      <c r="D57" s="108">
        <v>-4742</v>
      </c>
      <c r="E57" s="108">
        <v>-12203</v>
      </c>
      <c r="F57" s="108">
        <v>-17304</v>
      </c>
      <c r="G57" s="108">
        <v>-25595</v>
      </c>
      <c r="H57" s="108">
        <v>-5217</v>
      </c>
      <c r="I57" s="108">
        <v>-11561</v>
      </c>
      <c r="J57" s="108">
        <v>-25697</v>
      </c>
      <c r="K57" s="108">
        <v>-43916</v>
      </c>
      <c r="L57" s="108">
        <v>-17543</v>
      </c>
      <c r="M57" s="108">
        <v>-26986</v>
      </c>
      <c r="N57" s="108">
        <v>-34743</v>
      </c>
      <c r="O57" s="108">
        <v>-42961</v>
      </c>
      <c r="P57" s="108">
        <v>-6631</v>
      </c>
      <c r="Q57" s="108">
        <v>-12806</v>
      </c>
      <c r="R57" s="108">
        <v>-19521</v>
      </c>
      <c r="S57" s="108">
        <v>-29814</v>
      </c>
      <c r="T57" s="108">
        <v>-5880</v>
      </c>
      <c r="U57" s="108">
        <v>-10990</v>
      </c>
    </row>
    <row r="58" spans="2:21">
      <c r="B58" s="106" t="s">
        <v>371</v>
      </c>
      <c r="C58" s="106" t="s">
        <v>9</v>
      </c>
      <c r="D58" s="107">
        <f t="shared" ref="D58:N58" si="50">D56+D57</f>
        <v>9303</v>
      </c>
      <c r="E58" s="107">
        <f t="shared" si="50"/>
        <v>-11733</v>
      </c>
      <c r="F58" s="107">
        <f t="shared" si="50"/>
        <v>2229</v>
      </c>
      <c r="G58" s="107">
        <f t="shared" si="50"/>
        <v>3070</v>
      </c>
      <c r="H58" s="107">
        <f t="shared" si="50"/>
        <v>-1876</v>
      </c>
      <c r="I58" s="107">
        <f t="shared" si="50"/>
        <v>-3359</v>
      </c>
      <c r="J58" s="107">
        <f t="shared" si="50"/>
        <v>-11652</v>
      </c>
      <c r="K58" s="107">
        <f t="shared" si="50"/>
        <v>-19268</v>
      </c>
      <c r="L58" s="107">
        <f t="shared" si="50"/>
        <v>-7356</v>
      </c>
      <c r="M58" s="107">
        <f t="shared" si="50"/>
        <v>-6138</v>
      </c>
      <c r="N58" s="107">
        <f t="shared" si="50"/>
        <v>-8356</v>
      </c>
      <c r="O58" s="107">
        <f t="shared" ref="O58:T58" si="51">O56+O57</f>
        <v>-8712</v>
      </c>
      <c r="P58" s="107">
        <f t="shared" si="51"/>
        <v>4946</v>
      </c>
      <c r="Q58" s="107">
        <f t="shared" si="51"/>
        <v>6250</v>
      </c>
      <c r="R58" s="107">
        <f t="shared" si="51"/>
        <v>8511</v>
      </c>
      <c r="S58" s="107">
        <f t="shared" si="51"/>
        <v>5962</v>
      </c>
      <c r="T58" s="107">
        <f t="shared" si="51"/>
        <v>-226</v>
      </c>
      <c r="U58" s="107">
        <f t="shared" ref="U58" si="52">U56+U57</f>
        <v>3050</v>
      </c>
    </row>
    <row r="59" spans="2:21">
      <c r="B59" s="128" t="s">
        <v>528</v>
      </c>
      <c r="C59" s="106" t="s">
        <v>524</v>
      </c>
      <c r="D59" s="107">
        <f>D47+D50+D53+D58+D52</f>
        <v>358845</v>
      </c>
      <c r="E59" s="107">
        <f t="shared" ref="E59:O59" si="53">E47+E50+E53+E58+E52+E51</f>
        <v>709242</v>
      </c>
      <c r="F59" s="107">
        <f t="shared" si="53"/>
        <v>1057908</v>
      </c>
      <c r="G59" s="107">
        <f t="shared" si="53"/>
        <v>1371802</v>
      </c>
      <c r="H59" s="107">
        <f t="shared" si="53"/>
        <v>335357</v>
      </c>
      <c r="I59" s="107">
        <f t="shared" si="53"/>
        <v>664667</v>
      </c>
      <c r="J59" s="107">
        <f t="shared" si="53"/>
        <v>1034451</v>
      </c>
      <c r="K59" s="107">
        <f t="shared" si="53"/>
        <v>1365363</v>
      </c>
      <c r="L59" s="107">
        <f t="shared" si="53"/>
        <v>321713</v>
      </c>
      <c r="M59" s="107">
        <f t="shared" si="53"/>
        <v>642759</v>
      </c>
      <c r="N59" s="107">
        <f t="shared" si="53"/>
        <v>929594</v>
      </c>
      <c r="O59" s="107">
        <f t="shared" si="53"/>
        <v>1318277</v>
      </c>
      <c r="P59" s="107">
        <f t="shared" ref="P59:U59" si="54">P47+P50+P53+P58+P52+P51</f>
        <v>343761</v>
      </c>
      <c r="Q59" s="107">
        <f t="shared" si="54"/>
        <v>690477</v>
      </c>
      <c r="R59" s="107">
        <f t="shared" si="54"/>
        <v>1036108</v>
      </c>
      <c r="S59" s="107">
        <f t="shared" si="54"/>
        <v>1405237</v>
      </c>
      <c r="T59" s="107">
        <f t="shared" si="54"/>
        <v>400498</v>
      </c>
      <c r="U59" s="107">
        <f t="shared" si="54"/>
        <v>851270</v>
      </c>
    </row>
    <row r="60" spans="2:21">
      <c r="B60" s="102" t="s">
        <v>346</v>
      </c>
      <c r="C60" s="102" t="s">
        <v>372</v>
      </c>
      <c r="D60" s="108">
        <v>-106203</v>
      </c>
      <c r="E60" s="108">
        <v>-251107</v>
      </c>
      <c r="F60" s="108">
        <v>-398101</v>
      </c>
      <c r="G60" s="108">
        <v>-629104.48136145645</v>
      </c>
      <c r="H60" s="108">
        <v>-173798</v>
      </c>
      <c r="I60" s="108">
        <v>-549108</v>
      </c>
      <c r="J60" s="108">
        <v>-728596</v>
      </c>
      <c r="K60" s="108">
        <v>-921700</v>
      </c>
      <c r="L60" s="108">
        <v>-151175</v>
      </c>
      <c r="M60" s="108">
        <v>-798540</v>
      </c>
      <c r="N60" s="108">
        <v>-927187</v>
      </c>
      <c r="O60" s="108">
        <v>-1017475</v>
      </c>
      <c r="P60" s="108">
        <v>-140403</v>
      </c>
      <c r="Q60" s="108">
        <v>-331225</v>
      </c>
      <c r="R60" s="108">
        <v>-486323</v>
      </c>
      <c r="S60" s="108">
        <v>-713324</v>
      </c>
      <c r="T60" s="108">
        <v>-98057</v>
      </c>
      <c r="U60" s="108">
        <v>-207902</v>
      </c>
    </row>
    <row r="61" spans="2:21">
      <c r="B61" s="102" t="s">
        <v>373</v>
      </c>
      <c r="C61" s="102" t="s">
        <v>347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108">
        <v>0</v>
      </c>
      <c r="S61" s="108">
        <v>0</v>
      </c>
      <c r="T61" s="108">
        <v>0</v>
      </c>
      <c r="U61" s="108">
        <v>0</v>
      </c>
    </row>
    <row r="62" spans="2:21">
      <c r="B62" s="102" t="s">
        <v>474</v>
      </c>
      <c r="C62" s="102" t="s">
        <v>473</v>
      </c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>
        <v>0</v>
      </c>
      <c r="U62" s="108">
        <v>0</v>
      </c>
    </row>
    <row r="63" spans="2:21">
      <c r="B63" s="106" t="s">
        <v>529</v>
      </c>
      <c r="C63" s="106" t="s">
        <v>525</v>
      </c>
      <c r="D63" s="107">
        <f t="shared" ref="D63:N63" si="55">D59+D60+D61</f>
        <v>252642</v>
      </c>
      <c r="E63" s="107">
        <f t="shared" si="55"/>
        <v>458135</v>
      </c>
      <c r="F63" s="107">
        <f t="shared" si="55"/>
        <v>659807</v>
      </c>
      <c r="G63" s="107">
        <f t="shared" si="55"/>
        <v>742697.51863854355</v>
      </c>
      <c r="H63" s="107">
        <f t="shared" si="55"/>
        <v>161559</v>
      </c>
      <c r="I63" s="107">
        <f t="shared" si="55"/>
        <v>115559</v>
      </c>
      <c r="J63" s="107">
        <f t="shared" si="55"/>
        <v>305855</v>
      </c>
      <c r="K63" s="107">
        <f t="shared" si="55"/>
        <v>443663</v>
      </c>
      <c r="L63" s="107">
        <f t="shared" si="55"/>
        <v>170538</v>
      </c>
      <c r="M63" s="107">
        <f t="shared" si="55"/>
        <v>-155781</v>
      </c>
      <c r="N63" s="107">
        <f t="shared" si="55"/>
        <v>2407</v>
      </c>
      <c r="O63" s="107">
        <f t="shared" ref="O63:T63" si="56">O59+O60+O61</f>
        <v>300802</v>
      </c>
      <c r="P63" s="107">
        <f t="shared" si="56"/>
        <v>203358</v>
      </c>
      <c r="Q63" s="107">
        <f t="shared" si="56"/>
        <v>359252</v>
      </c>
      <c r="R63" s="107">
        <f t="shared" si="56"/>
        <v>549785</v>
      </c>
      <c r="S63" s="107">
        <f t="shared" si="56"/>
        <v>691913</v>
      </c>
      <c r="T63" s="107">
        <f t="shared" si="56"/>
        <v>302441</v>
      </c>
      <c r="U63" s="107">
        <f t="shared" ref="U63" si="57">U59+U60+U61</f>
        <v>643368</v>
      </c>
    </row>
    <row r="64" spans="2:21">
      <c r="B64" s="102" t="s">
        <v>216</v>
      </c>
      <c r="C64" s="102" t="s">
        <v>325</v>
      </c>
      <c r="D64" s="108">
        <v>-132750</v>
      </c>
      <c r="E64" s="108">
        <v>-262592</v>
      </c>
      <c r="F64" s="108">
        <v>-379400</v>
      </c>
      <c r="G64" s="108">
        <v>-499655</v>
      </c>
      <c r="H64" s="108">
        <v>-175972</v>
      </c>
      <c r="I64" s="108">
        <v>-325385</v>
      </c>
      <c r="J64" s="108">
        <v>-462246</v>
      </c>
      <c r="K64" s="108">
        <v>-595972</v>
      </c>
      <c r="L64" s="108">
        <v>-187697</v>
      </c>
      <c r="M64" s="108">
        <v>-340404</v>
      </c>
      <c r="N64" s="108">
        <v>-486366</v>
      </c>
      <c r="O64" s="108">
        <v>-627939</v>
      </c>
      <c r="P64" s="108">
        <v>-150060</v>
      </c>
      <c r="Q64" s="108">
        <v>-273774</v>
      </c>
      <c r="R64" s="108">
        <v>-383843</v>
      </c>
      <c r="S64" s="108">
        <v>-498631</v>
      </c>
      <c r="T64" s="108">
        <v>-161624</v>
      </c>
      <c r="U64" s="108">
        <v>-339237</v>
      </c>
    </row>
    <row r="65" spans="2:21">
      <c r="B65" s="106" t="s">
        <v>218</v>
      </c>
      <c r="C65" s="106" t="s">
        <v>526</v>
      </c>
      <c r="D65" s="107">
        <f t="shared" ref="D65:N65" si="58">D63+D64</f>
        <v>119892</v>
      </c>
      <c r="E65" s="107">
        <f t="shared" si="58"/>
        <v>195543</v>
      </c>
      <c r="F65" s="107">
        <f t="shared" si="58"/>
        <v>280407</v>
      </c>
      <c r="G65" s="107">
        <f t="shared" si="58"/>
        <v>243042.51863854355</v>
      </c>
      <c r="H65" s="107">
        <f t="shared" si="58"/>
        <v>-14413</v>
      </c>
      <c r="I65" s="107">
        <f t="shared" si="58"/>
        <v>-209826</v>
      </c>
      <c r="J65" s="107">
        <f t="shared" si="58"/>
        <v>-156391</v>
      </c>
      <c r="K65" s="107">
        <f t="shared" si="58"/>
        <v>-152309</v>
      </c>
      <c r="L65" s="107">
        <f t="shared" si="58"/>
        <v>-17159</v>
      </c>
      <c r="M65" s="107">
        <f t="shared" si="58"/>
        <v>-496185</v>
      </c>
      <c r="N65" s="107">
        <f t="shared" si="58"/>
        <v>-483959</v>
      </c>
      <c r="O65" s="107">
        <f t="shared" ref="O65:T65" si="59">O63+O64</f>
        <v>-327137</v>
      </c>
      <c r="P65" s="107">
        <f t="shared" si="59"/>
        <v>53298</v>
      </c>
      <c r="Q65" s="107">
        <f t="shared" si="59"/>
        <v>85478</v>
      </c>
      <c r="R65" s="107">
        <f t="shared" si="59"/>
        <v>165942</v>
      </c>
      <c r="S65" s="107">
        <f t="shared" si="59"/>
        <v>193282</v>
      </c>
      <c r="T65" s="107">
        <f t="shared" si="59"/>
        <v>140817</v>
      </c>
      <c r="U65" s="107">
        <f t="shared" ref="U65" si="60">U63+U64</f>
        <v>304131</v>
      </c>
    </row>
    <row r="66" spans="2:21">
      <c r="B66" s="102" t="s">
        <v>219</v>
      </c>
      <c r="C66" s="102" t="s">
        <v>10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108">
        <v>0</v>
      </c>
      <c r="K66" s="108">
        <v>0</v>
      </c>
      <c r="L66" s="108">
        <v>0</v>
      </c>
      <c r="M66" s="108">
        <v>0</v>
      </c>
      <c r="N66" s="108">
        <v>0</v>
      </c>
      <c r="O66" s="108">
        <v>0</v>
      </c>
      <c r="P66" s="108">
        <v>0</v>
      </c>
      <c r="Q66" s="108">
        <v>0</v>
      </c>
      <c r="R66" s="108">
        <v>0</v>
      </c>
      <c r="S66" s="108">
        <v>0</v>
      </c>
      <c r="T66" s="108">
        <v>0</v>
      </c>
      <c r="U66" s="108">
        <v>0</v>
      </c>
    </row>
    <row r="67" spans="2:21">
      <c r="B67" s="106" t="s">
        <v>530</v>
      </c>
      <c r="C67" s="106" t="s">
        <v>527</v>
      </c>
      <c r="D67" s="107">
        <f t="shared" ref="D67:N67" si="61">D65+D66</f>
        <v>119892</v>
      </c>
      <c r="E67" s="107">
        <f t="shared" si="61"/>
        <v>195543</v>
      </c>
      <c r="F67" s="107">
        <f t="shared" si="61"/>
        <v>280407</v>
      </c>
      <c r="G67" s="107">
        <f t="shared" si="61"/>
        <v>243042.51863854355</v>
      </c>
      <c r="H67" s="107">
        <f t="shared" si="61"/>
        <v>-14413</v>
      </c>
      <c r="I67" s="107">
        <f t="shared" si="61"/>
        <v>-209826</v>
      </c>
      <c r="J67" s="107">
        <f t="shared" si="61"/>
        <v>-156391</v>
      </c>
      <c r="K67" s="107">
        <f t="shared" si="61"/>
        <v>-152309</v>
      </c>
      <c r="L67" s="107">
        <f t="shared" si="61"/>
        <v>-17159</v>
      </c>
      <c r="M67" s="107">
        <f t="shared" si="61"/>
        <v>-496185</v>
      </c>
      <c r="N67" s="107">
        <f t="shared" si="61"/>
        <v>-483959</v>
      </c>
      <c r="O67" s="107">
        <f t="shared" ref="O67:T67" si="62">O65+O66</f>
        <v>-327137</v>
      </c>
      <c r="P67" s="107">
        <f t="shared" si="62"/>
        <v>53298</v>
      </c>
      <c r="Q67" s="107">
        <f t="shared" si="62"/>
        <v>85478</v>
      </c>
      <c r="R67" s="107">
        <f t="shared" si="62"/>
        <v>165942</v>
      </c>
      <c r="S67" s="107">
        <f t="shared" si="62"/>
        <v>193282</v>
      </c>
      <c r="T67" s="107">
        <f t="shared" si="62"/>
        <v>140817</v>
      </c>
      <c r="U67" s="107">
        <f t="shared" ref="U67" si="63">U65+U66</f>
        <v>304131</v>
      </c>
    </row>
    <row r="68" spans="2:21">
      <c r="B68" s="102" t="s">
        <v>500</v>
      </c>
      <c r="C68" s="102" t="s">
        <v>331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108">
        <v>0</v>
      </c>
      <c r="K68" s="108">
        <v>0</v>
      </c>
      <c r="L68" s="108">
        <v>0</v>
      </c>
      <c r="M68" s="108">
        <v>0</v>
      </c>
      <c r="N68" s="108">
        <v>0</v>
      </c>
      <c r="O68" s="108">
        <v>0</v>
      </c>
      <c r="P68" s="108">
        <v>0</v>
      </c>
      <c r="Q68" s="108">
        <v>0</v>
      </c>
      <c r="R68" s="108">
        <v>0</v>
      </c>
      <c r="S68" s="108">
        <v>0</v>
      </c>
      <c r="T68" s="108">
        <v>0</v>
      </c>
      <c r="U68" s="108">
        <v>0</v>
      </c>
    </row>
    <row r="69" spans="2:21">
      <c r="B69" s="106" t="s">
        <v>499</v>
      </c>
      <c r="C69" s="106" t="s">
        <v>374</v>
      </c>
      <c r="D69" s="107">
        <f>D67+D68</f>
        <v>119892</v>
      </c>
      <c r="E69" s="107">
        <f t="shared" ref="E69:R69" si="64">E67+E68</f>
        <v>195543</v>
      </c>
      <c r="F69" s="107">
        <f t="shared" si="64"/>
        <v>280407</v>
      </c>
      <c r="G69" s="107">
        <f t="shared" si="64"/>
        <v>243042.51863854355</v>
      </c>
      <c r="H69" s="107">
        <f t="shared" si="64"/>
        <v>-14413</v>
      </c>
      <c r="I69" s="107">
        <f t="shared" si="64"/>
        <v>-209826</v>
      </c>
      <c r="J69" s="107">
        <f t="shared" si="64"/>
        <v>-156391</v>
      </c>
      <c r="K69" s="107">
        <f t="shared" si="64"/>
        <v>-152309</v>
      </c>
      <c r="L69" s="107">
        <f t="shared" si="64"/>
        <v>-17159</v>
      </c>
      <c r="M69" s="107">
        <f t="shared" si="64"/>
        <v>-496185</v>
      </c>
      <c r="N69" s="107">
        <f t="shared" si="64"/>
        <v>-483959</v>
      </c>
      <c r="O69" s="107">
        <f t="shared" si="64"/>
        <v>-327137</v>
      </c>
      <c r="P69" s="107">
        <f t="shared" si="64"/>
        <v>53298</v>
      </c>
      <c r="Q69" s="107">
        <f t="shared" si="64"/>
        <v>85478</v>
      </c>
      <c r="R69" s="107">
        <f t="shared" si="64"/>
        <v>165942</v>
      </c>
      <c r="S69" s="107">
        <f>S67+S68</f>
        <v>193282</v>
      </c>
      <c r="T69" s="107">
        <f t="shared" ref="T69:U69" si="65">T67+T68</f>
        <v>140817</v>
      </c>
      <c r="U69" s="107">
        <f t="shared" si="65"/>
        <v>304131</v>
      </c>
    </row>
    <row r="70" spans="2:21">
      <c r="B70" s="102" t="s">
        <v>375</v>
      </c>
      <c r="C70" s="102" t="s">
        <v>135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108">
        <v>0</v>
      </c>
      <c r="K70" s="102">
        <v>0</v>
      </c>
      <c r="L70" s="102">
        <v>0</v>
      </c>
      <c r="M70" s="108"/>
      <c r="N70" s="108"/>
      <c r="O70" s="102">
        <v>0</v>
      </c>
      <c r="P70" s="102">
        <v>0</v>
      </c>
      <c r="Q70" s="108">
        <v>0</v>
      </c>
      <c r="R70" s="108">
        <v>0</v>
      </c>
      <c r="S70" s="108">
        <v>0</v>
      </c>
      <c r="T70" s="102">
        <v>0</v>
      </c>
      <c r="U70" s="108">
        <v>0</v>
      </c>
    </row>
    <row r="71" spans="2:21">
      <c r="B71" s="102" t="s">
        <v>376</v>
      </c>
      <c r="C71" s="102" t="s">
        <v>37</v>
      </c>
      <c r="D71" s="108">
        <v>28118098</v>
      </c>
      <c r="E71" s="108">
        <v>28506395</v>
      </c>
      <c r="F71" s="108">
        <v>28938063</v>
      </c>
      <c r="G71" s="108">
        <v>29545325</v>
      </c>
      <c r="H71" s="108">
        <v>31190633</v>
      </c>
      <c r="I71" s="108">
        <v>32452365</v>
      </c>
      <c r="J71" s="108">
        <v>31795662</v>
      </c>
      <c r="K71" s="108">
        <v>30334075</v>
      </c>
      <c r="L71" s="108">
        <v>30456071</v>
      </c>
      <c r="M71" s="108">
        <v>29981715</v>
      </c>
      <c r="N71" s="108">
        <v>29195350</v>
      </c>
      <c r="O71" s="108">
        <v>28997767</v>
      </c>
      <c r="P71" s="108">
        <v>28674561</v>
      </c>
      <c r="Q71" s="108">
        <v>28166943</v>
      </c>
      <c r="R71" s="108">
        <v>27298366</v>
      </c>
      <c r="S71" s="108">
        <v>27694072</v>
      </c>
      <c r="T71" s="108">
        <v>28609690</v>
      </c>
      <c r="U71" s="108">
        <v>28517099</v>
      </c>
    </row>
    <row r="72" spans="2:21">
      <c r="B72" s="102" t="s">
        <v>377</v>
      </c>
      <c r="C72" s="102" t="s">
        <v>378</v>
      </c>
      <c r="D72" s="108">
        <v>22265699</v>
      </c>
      <c r="E72" s="108">
        <v>21531655</v>
      </c>
      <c r="F72" s="108">
        <v>20355710</v>
      </c>
      <c r="G72" s="108">
        <v>19594487</v>
      </c>
      <c r="H72" s="108">
        <v>18961066</v>
      </c>
      <c r="I72" s="108">
        <v>21228914</v>
      </c>
      <c r="J72" s="108">
        <v>19830018</v>
      </c>
      <c r="K72" s="108">
        <v>19904261</v>
      </c>
      <c r="L72" s="108">
        <v>19353513</v>
      </c>
      <c r="M72" s="108">
        <v>21475786</v>
      </c>
      <c r="N72" s="108">
        <v>22277942</v>
      </c>
      <c r="O72" s="108">
        <v>23075812</v>
      </c>
      <c r="P72" s="108">
        <v>23338681</v>
      </c>
      <c r="Q72" s="108">
        <v>22853990</v>
      </c>
      <c r="R72" s="108">
        <v>22074212</v>
      </c>
      <c r="S72" s="108">
        <v>24351899</v>
      </c>
      <c r="T72" s="108">
        <v>23727185</v>
      </c>
      <c r="U72" s="108">
        <v>23279599</v>
      </c>
    </row>
    <row r="73" spans="2:21">
      <c r="N73" s="108"/>
    </row>
    <row r="74" spans="2:21">
      <c r="B74" s="104" t="s">
        <v>381</v>
      </c>
      <c r="C74" s="104" t="s">
        <v>382</v>
      </c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9"/>
      <c r="O74" s="105"/>
      <c r="P74" s="105"/>
      <c r="Q74" s="105"/>
      <c r="R74" s="105"/>
      <c r="S74" s="105"/>
      <c r="T74" s="105"/>
      <c r="U74" s="105"/>
    </row>
    <row r="75" spans="2:21">
      <c r="B75" s="106" t="s">
        <v>352</v>
      </c>
      <c r="C75" s="106" t="s">
        <v>353</v>
      </c>
      <c r="D75" s="107">
        <f t="shared" ref="D75:O75" si="66">D76+D77+D78</f>
        <v>31971</v>
      </c>
      <c r="E75" s="107">
        <f t="shared" si="66"/>
        <v>54356</v>
      </c>
      <c r="F75" s="107">
        <f t="shared" si="66"/>
        <v>106244</v>
      </c>
      <c r="G75" s="107">
        <f t="shared" si="66"/>
        <v>124476</v>
      </c>
      <c r="H75" s="107">
        <f t="shared" si="66"/>
        <v>38433</v>
      </c>
      <c r="I75" s="107">
        <f t="shared" si="66"/>
        <v>66397</v>
      </c>
      <c r="J75" s="107">
        <f t="shared" si="66"/>
        <v>52016</v>
      </c>
      <c r="K75" s="107">
        <f t="shared" si="66"/>
        <v>173842</v>
      </c>
      <c r="L75" s="107">
        <f t="shared" si="66"/>
        <v>51218</v>
      </c>
      <c r="M75" s="107">
        <f t="shared" si="66"/>
        <v>107229</v>
      </c>
      <c r="N75" s="107">
        <f t="shared" si="66"/>
        <v>187096</v>
      </c>
      <c r="O75" s="107">
        <f t="shared" si="66"/>
        <v>185278</v>
      </c>
      <c r="P75" s="107">
        <f t="shared" ref="P75:U75" si="67">P76+P77+P78</f>
        <v>27745</v>
      </c>
      <c r="Q75" s="107">
        <f t="shared" si="67"/>
        <v>57344</v>
      </c>
      <c r="R75" s="107">
        <f t="shared" si="67"/>
        <v>86081</v>
      </c>
      <c r="S75" s="107">
        <f t="shared" si="67"/>
        <v>119705</v>
      </c>
      <c r="T75" s="107">
        <f t="shared" si="67"/>
        <v>-1382</v>
      </c>
      <c r="U75" s="107">
        <f t="shared" si="67"/>
        <v>-74229</v>
      </c>
    </row>
    <row r="76" spans="2:21">
      <c r="B76" s="102" t="s">
        <v>354</v>
      </c>
      <c r="C76" s="102" t="s">
        <v>355</v>
      </c>
      <c r="D76" s="108">
        <v>63045</v>
      </c>
      <c r="E76" s="108">
        <v>129281</v>
      </c>
      <c r="F76" s="108">
        <v>221736</v>
      </c>
      <c r="G76" s="108">
        <v>279208</v>
      </c>
      <c r="H76" s="108">
        <v>69058</v>
      </c>
      <c r="I76" s="108">
        <v>125685</v>
      </c>
      <c r="J76" s="108">
        <v>160963</v>
      </c>
      <c r="K76" s="108">
        <v>283358</v>
      </c>
      <c r="L76" s="108">
        <v>78653</v>
      </c>
      <c r="M76" s="108">
        <v>154782</v>
      </c>
      <c r="N76" s="108">
        <v>210652</v>
      </c>
      <c r="O76" s="108">
        <v>197955</v>
      </c>
      <c r="P76" s="108">
        <v>19964</v>
      </c>
      <c r="Q76" s="108">
        <v>40470</v>
      </c>
      <c r="R76" s="108">
        <v>53120</v>
      </c>
      <c r="S76" s="108">
        <v>88418</v>
      </c>
      <c r="T76" s="108">
        <v>90615</v>
      </c>
      <c r="U76" s="108">
        <v>253183</v>
      </c>
    </row>
    <row r="77" spans="2:21">
      <c r="B77" s="102" t="s">
        <v>356</v>
      </c>
      <c r="C77" s="102" t="s">
        <v>357</v>
      </c>
      <c r="D77" s="108">
        <v>35078</v>
      </c>
      <c r="E77" s="108">
        <v>87253</v>
      </c>
      <c r="F77" s="108">
        <v>125716</v>
      </c>
      <c r="G77" s="108">
        <v>150915</v>
      </c>
      <c r="H77" s="108">
        <v>33474</v>
      </c>
      <c r="I77" s="108">
        <v>68916</v>
      </c>
      <c r="J77" s="108">
        <v>113080</v>
      </c>
      <c r="K77" s="108">
        <v>153525</v>
      </c>
      <c r="L77" s="108">
        <v>22486</v>
      </c>
      <c r="M77" s="108">
        <v>60790</v>
      </c>
      <c r="N77" s="108">
        <v>115114</v>
      </c>
      <c r="O77" s="108">
        <v>173828</v>
      </c>
      <c r="P77" s="108">
        <v>62130</v>
      </c>
      <c r="Q77" s="108">
        <v>110917</v>
      </c>
      <c r="R77" s="108">
        <v>163361</v>
      </c>
      <c r="S77" s="108">
        <v>199338</v>
      </c>
      <c r="T77" s="108">
        <v>22660</v>
      </c>
      <c r="U77" s="108">
        <v>32645</v>
      </c>
    </row>
    <row r="78" spans="2:21">
      <c r="B78" s="102" t="s">
        <v>358</v>
      </c>
      <c r="C78" s="102" t="s">
        <v>359</v>
      </c>
      <c r="D78" s="108">
        <v>-66152</v>
      </c>
      <c r="E78" s="108">
        <v>-162178</v>
      </c>
      <c r="F78" s="108">
        <v>-241208</v>
      </c>
      <c r="G78" s="108">
        <v>-305647</v>
      </c>
      <c r="H78" s="108">
        <v>-64099</v>
      </c>
      <c r="I78" s="108">
        <v>-128204</v>
      </c>
      <c r="J78" s="108">
        <v>-222027</v>
      </c>
      <c r="K78" s="108">
        <v>-263041</v>
      </c>
      <c r="L78" s="108">
        <v>-49921</v>
      </c>
      <c r="M78" s="108">
        <v>-108343</v>
      </c>
      <c r="N78" s="108">
        <v>-138670</v>
      </c>
      <c r="O78" s="108">
        <v>-186505</v>
      </c>
      <c r="P78" s="108">
        <v>-54349</v>
      </c>
      <c r="Q78" s="108">
        <v>-94043</v>
      </c>
      <c r="R78" s="108">
        <v>-130400</v>
      </c>
      <c r="S78" s="108">
        <v>-168051</v>
      </c>
      <c r="T78" s="108">
        <v>-114657</v>
      </c>
      <c r="U78" s="108">
        <v>-360057</v>
      </c>
    </row>
    <row r="79" spans="2:21">
      <c r="B79" s="106" t="s">
        <v>360</v>
      </c>
      <c r="C79" s="106" t="s">
        <v>361</v>
      </c>
      <c r="D79" s="107">
        <f t="shared" ref="D79:N79" si="68">D80+D81</f>
        <v>-9350</v>
      </c>
      <c r="E79" s="107">
        <f t="shared" si="68"/>
        <v>-25680</v>
      </c>
      <c r="F79" s="107">
        <f t="shared" si="68"/>
        <v>-45186</v>
      </c>
      <c r="G79" s="107">
        <f t="shared" si="68"/>
        <v>176095</v>
      </c>
      <c r="H79" s="107">
        <f t="shared" si="68"/>
        <v>36972</v>
      </c>
      <c r="I79" s="107">
        <f t="shared" si="68"/>
        <v>78734</v>
      </c>
      <c r="J79" s="107">
        <f t="shared" si="68"/>
        <v>116532</v>
      </c>
      <c r="K79" s="107">
        <f t="shared" si="68"/>
        <v>128883</v>
      </c>
      <c r="L79" s="107">
        <f t="shared" si="68"/>
        <v>42350</v>
      </c>
      <c r="M79" s="107">
        <f t="shared" si="68"/>
        <v>87723</v>
      </c>
      <c r="N79" s="107">
        <f t="shared" si="68"/>
        <v>92684</v>
      </c>
      <c r="O79" s="107">
        <f t="shared" ref="O79:T79" si="69">O80+O81</f>
        <v>98388</v>
      </c>
      <c r="P79" s="107">
        <f t="shared" si="69"/>
        <v>10289</v>
      </c>
      <c r="Q79" s="107">
        <f t="shared" si="69"/>
        <v>-1214</v>
      </c>
      <c r="R79" s="107">
        <f t="shared" si="69"/>
        <v>2359</v>
      </c>
      <c r="S79" s="107">
        <f t="shared" si="69"/>
        <v>-57913</v>
      </c>
      <c r="T79" s="107">
        <f t="shared" si="69"/>
        <v>-8856</v>
      </c>
      <c r="U79" s="107">
        <f t="shared" ref="U79" si="70">U80+U81</f>
        <v>-46411</v>
      </c>
    </row>
    <row r="80" spans="2:21">
      <c r="B80" s="102" t="s">
        <v>362</v>
      </c>
      <c r="C80" s="102" t="s">
        <v>363</v>
      </c>
      <c r="D80" s="108">
        <v>471237</v>
      </c>
      <c r="E80" s="108">
        <v>948760</v>
      </c>
      <c r="F80" s="108">
        <v>1435146</v>
      </c>
      <c r="G80" s="108">
        <v>1441515</v>
      </c>
      <c r="H80" s="108">
        <v>378900</v>
      </c>
      <c r="I80" s="108">
        <v>771926</v>
      </c>
      <c r="J80" s="108">
        <v>1171556</v>
      </c>
      <c r="K80" s="108">
        <v>1570296</v>
      </c>
      <c r="L80" s="108">
        <v>389325</v>
      </c>
      <c r="M80" s="108">
        <v>634048</v>
      </c>
      <c r="N80" s="108">
        <v>806556</v>
      </c>
      <c r="O80" s="108">
        <v>966102</v>
      </c>
      <c r="P80" s="108">
        <v>158421</v>
      </c>
      <c r="Q80" s="108">
        <v>240999</v>
      </c>
      <c r="R80" s="108">
        <v>364039</v>
      </c>
      <c r="S80" s="108">
        <v>569641</v>
      </c>
      <c r="T80" s="108">
        <v>427796</v>
      </c>
      <c r="U80" s="108">
        <v>1159450</v>
      </c>
    </row>
    <row r="81" spans="2:21">
      <c r="B81" s="102" t="s">
        <v>364</v>
      </c>
      <c r="C81" s="102" t="s">
        <v>365</v>
      </c>
      <c r="D81" s="108">
        <v>-480587</v>
      </c>
      <c r="E81" s="108">
        <v>-974440</v>
      </c>
      <c r="F81" s="108">
        <v>-1480332</v>
      </c>
      <c r="G81" s="108">
        <v>-1265420</v>
      </c>
      <c r="H81" s="108">
        <v>-341928</v>
      </c>
      <c r="I81" s="108">
        <v>-693192</v>
      </c>
      <c r="J81" s="108">
        <v>-1055024</v>
      </c>
      <c r="K81" s="108">
        <v>-1441413</v>
      </c>
      <c r="L81" s="108">
        <v>-346975</v>
      </c>
      <c r="M81" s="108">
        <v>-546325</v>
      </c>
      <c r="N81" s="108">
        <v>-713872</v>
      </c>
      <c r="O81" s="108">
        <v>-867714</v>
      </c>
      <c r="P81" s="108">
        <v>-148132</v>
      </c>
      <c r="Q81" s="108">
        <v>-242213</v>
      </c>
      <c r="R81" s="108">
        <v>-361680</v>
      </c>
      <c r="S81" s="108">
        <v>-627554</v>
      </c>
      <c r="T81" s="108">
        <v>-436652</v>
      </c>
      <c r="U81" s="108">
        <v>-1205861</v>
      </c>
    </row>
    <row r="82" spans="2:21">
      <c r="B82" s="106" t="s">
        <v>204</v>
      </c>
      <c r="C82" s="106" t="s">
        <v>2</v>
      </c>
      <c r="D82" s="107">
        <f t="shared" ref="D82:N82" si="71">D75+D79</f>
        <v>22621</v>
      </c>
      <c r="E82" s="107">
        <f t="shared" si="71"/>
        <v>28676</v>
      </c>
      <c r="F82" s="107">
        <f t="shared" si="71"/>
        <v>61058</v>
      </c>
      <c r="G82" s="107">
        <f t="shared" si="71"/>
        <v>300571</v>
      </c>
      <c r="H82" s="107">
        <f t="shared" si="71"/>
        <v>75405</v>
      </c>
      <c r="I82" s="107">
        <f t="shared" si="71"/>
        <v>145131</v>
      </c>
      <c r="J82" s="107">
        <f t="shared" si="71"/>
        <v>168548</v>
      </c>
      <c r="K82" s="107">
        <f t="shared" si="71"/>
        <v>302725</v>
      </c>
      <c r="L82" s="107">
        <f t="shared" si="71"/>
        <v>93568</v>
      </c>
      <c r="M82" s="107">
        <f t="shared" si="71"/>
        <v>194952</v>
      </c>
      <c r="N82" s="107">
        <f t="shared" si="71"/>
        <v>279780</v>
      </c>
      <c r="O82" s="107">
        <f t="shared" ref="O82:T82" si="72">O75+O79</f>
        <v>283666</v>
      </c>
      <c r="P82" s="107">
        <f t="shared" si="72"/>
        <v>38034</v>
      </c>
      <c r="Q82" s="107">
        <f t="shared" si="72"/>
        <v>56130</v>
      </c>
      <c r="R82" s="107">
        <f t="shared" si="72"/>
        <v>88440</v>
      </c>
      <c r="S82" s="107">
        <f t="shared" si="72"/>
        <v>61792</v>
      </c>
      <c r="T82" s="107">
        <f t="shared" si="72"/>
        <v>-10238</v>
      </c>
      <c r="U82" s="107">
        <f t="shared" ref="U82" si="73">U75+U79</f>
        <v>-120640</v>
      </c>
    </row>
    <row r="83" spans="2:21">
      <c r="B83" s="102" t="s">
        <v>205</v>
      </c>
      <c r="C83" s="102" t="s">
        <v>366</v>
      </c>
      <c r="D83" s="108">
        <v>1937</v>
      </c>
      <c r="E83" s="108">
        <v>8581</v>
      </c>
      <c r="F83" s="108">
        <v>10750</v>
      </c>
      <c r="G83" s="108">
        <v>12621</v>
      </c>
      <c r="H83" s="108">
        <v>3708</v>
      </c>
      <c r="I83" s="108">
        <v>5902</v>
      </c>
      <c r="J83" s="108">
        <v>9625</v>
      </c>
      <c r="K83" s="108">
        <v>12413</v>
      </c>
      <c r="L83" s="108">
        <v>-24797</v>
      </c>
      <c r="M83" s="108">
        <v>-24077</v>
      </c>
      <c r="N83" s="108">
        <v>-28935</v>
      </c>
      <c r="O83" s="108">
        <v>-39981</v>
      </c>
      <c r="P83" s="108">
        <v>-8746</v>
      </c>
      <c r="Q83" s="108">
        <v>-19345</v>
      </c>
      <c r="R83" s="108">
        <v>-32468</v>
      </c>
      <c r="S83" s="108">
        <v>-27808</v>
      </c>
      <c r="T83" s="108">
        <v>-15908</v>
      </c>
      <c r="U83" s="108">
        <v>-11324</v>
      </c>
    </row>
    <row r="84" spans="2:21">
      <c r="B84" s="102" t="s">
        <v>206</v>
      </c>
      <c r="C84" s="102" t="s">
        <v>367</v>
      </c>
      <c r="D84" s="108">
        <v>-1956</v>
      </c>
      <c r="E84" s="108">
        <v>-4052</v>
      </c>
      <c r="F84" s="108">
        <v>-6245</v>
      </c>
      <c r="G84" s="108">
        <v>-8467</v>
      </c>
      <c r="H84" s="108">
        <v>-1638</v>
      </c>
      <c r="I84" s="108">
        <v>-3496</v>
      </c>
      <c r="J84" s="108">
        <v>-5238</v>
      </c>
      <c r="K84" s="108">
        <v>-7185</v>
      </c>
      <c r="L84" s="108">
        <v>-1317</v>
      </c>
      <c r="M84" s="108">
        <v>-2910</v>
      </c>
      <c r="N84" s="108">
        <v>-4369</v>
      </c>
      <c r="O84" s="108">
        <v>-6053</v>
      </c>
      <c r="P84" s="108">
        <v>-1384</v>
      </c>
      <c r="Q84" s="108">
        <v>-3131</v>
      </c>
      <c r="R84" s="108">
        <v>-4805</v>
      </c>
      <c r="S84" s="108">
        <v>-6725</v>
      </c>
      <c r="T84" s="108">
        <v>-1827</v>
      </c>
      <c r="U84" s="108">
        <v>-3866</v>
      </c>
    </row>
    <row r="85" spans="2:21">
      <c r="B85" s="106" t="s">
        <v>207</v>
      </c>
      <c r="C85" s="106" t="s">
        <v>13</v>
      </c>
      <c r="D85" s="107">
        <f t="shared" ref="D85:N85" si="74">D83+D84</f>
        <v>-19</v>
      </c>
      <c r="E85" s="107">
        <f t="shared" si="74"/>
        <v>4529</v>
      </c>
      <c r="F85" s="107">
        <f t="shared" si="74"/>
        <v>4505</v>
      </c>
      <c r="G85" s="107">
        <f t="shared" si="74"/>
        <v>4154</v>
      </c>
      <c r="H85" s="107">
        <f t="shared" si="74"/>
        <v>2070</v>
      </c>
      <c r="I85" s="107">
        <f t="shared" si="74"/>
        <v>2406</v>
      </c>
      <c r="J85" s="107">
        <f t="shared" si="74"/>
        <v>4387</v>
      </c>
      <c r="K85" s="107">
        <f t="shared" si="74"/>
        <v>5228</v>
      </c>
      <c r="L85" s="107">
        <f t="shared" si="74"/>
        <v>-26114</v>
      </c>
      <c r="M85" s="107">
        <f t="shared" si="74"/>
        <v>-26987</v>
      </c>
      <c r="N85" s="107">
        <f t="shared" si="74"/>
        <v>-33304</v>
      </c>
      <c r="O85" s="107">
        <f t="shared" ref="O85:T85" si="75">O83+O84</f>
        <v>-46034</v>
      </c>
      <c r="P85" s="107">
        <f t="shared" si="75"/>
        <v>-10130</v>
      </c>
      <c r="Q85" s="107">
        <f t="shared" si="75"/>
        <v>-22476</v>
      </c>
      <c r="R85" s="107">
        <f t="shared" si="75"/>
        <v>-37273</v>
      </c>
      <c r="S85" s="107">
        <f t="shared" si="75"/>
        <v>-34533</v>
      </c>
      <c r="T85" s="107">
        <f t="shared" si="75"/>
        <v>-17735</v>
      </c>
      <c r="U85" s="107">
        <f t="shared" ref="U85" si="76">U83+U84</f>
        <v>-15190</v>
      </c>
    </row>
    <row r="86" spans="2:21">
      <c r="B86" s="102" t="s">
        <v>208</v>
      </c>
      <c r="C86" s="102" t="s">
        <v>3</v>
      </c>
      <c r="D86" s="108">
        <v>0</v>
      </c>
      <c r="E86" s="108">
        <v>94</v>
      </c>
      <c r="F86" s="108">
        <v>143</v>
      </c>
      <c r="G86" s="108">
        <v>275</v>
      </c>
      <c r="H86" s="108">
        <v>0</v>
      </c>
      <c r="I86" s="108">
        <v>173</v>
      </c>
      <c r="J86" s="108">
        <v>257</v>
      </c>
      <c r="K86" s="108">
        <v>344</v>
      </c>
      <c r="L86" s="108">
        <v>114</v>
      </c>
      <c r="M86" s="108">
        <v>221</v>
      </c>
      <c r="N86" s="108">
        <v>594</v>
      </c>
      <c r="O86" s="108">
        <v>700</v>
      </c>
      <c r="P86" s="108">
        <v>106</v>
      </c>
      <c r="Q86" s="108">
        <v>277</v>
      </c>
      <c r="R86" s="108">
        <v>397</v>
      </c>
      <c r="S86" s="108">
        <v>532</v>
      </c>
      <c r="T86" s="108">
        <v>139</v>
      </c>
      <c r="U86" s="108">
        <v>291</v>
      </c>
    </row>
    <row r="87" spans="2:21">
      <c r="B87" s="102" t="s">
        <v>209</v>
      </c>
      <c r="C87" s="102" t="s">
        <v>18</v>
      </c>
      <c r="D87" s="108">
        <v>-6411</v>
      </c>
      <c r="E87" s="108">
        <v>4510</v>
      </c>
      <c r="F87" s="108">
        <v>11707</v>
      </c>
      <c r="G87" s="108">
        <v>10877</v>
      </c>
      <c r="H87" s="108">
        <v>7067</v>
      </c>
      <c r="I87" s="108">
        <v>8038</v>
      </c>
      <c r="J87" s="108">
        <v>7083</v>
      </c>
      <c r="K87" s="108">
        <v>44197</v>
      </c>
      <c r="L87" s="108">
        <v>-9830</v>
      </c>
      <c r="M87" s="108">
        <v>1146</v>
      </c>
      <c r="N87" s="108">
        <v>16706</v>
      </c>
      <c r="O87" s="108">
        <v>48757</v>
      </c>
      <c r="P87" s="108">
        <v>13584</v>
      </c>
      <c r="Q87" s="108">
        <v>44104</v>
      </c>
      <c r="R87" s="108">
        <v>69812</v>
      </c>
      <c r="S87" s="108">
        <v>70150</v>
      </c>
      <c r="T87" s="108">
        <v>25234</v>
      </c>
      <c r="U87" s="108">
        <v>16123</v>
      </c>
    </row>
    <row r="88" spans="2:21">
      <c r="B88" s="106" t="s">
        <v>210</v>
      </c>
      <c r="C88" s="106" t="s">
        <v>368</v>
      </c>
      <c r="D88" s="107">
        <f t="shared" ref="D88:N88" si="77">D89+D90</f>
        <v>11545</v>
      </c>
      <c r="E88" s="107">
        <f t="shared" si="77"/>
        <v>32794</v>
      </c>
      <c r="F88" s="107">
        <f t="shared" si="77"/>
        <v>40452</v>
      </c>
      <c r="G88" s="107">
        <f t="shared" si="77"/>
        <v>77829</v>
      </c>
      <c r="H88" s="107">
        <f t="shared" si="77"/>
        <v>17295</v>
      </c>
      <c r="I88" s="107">
        <f t="shared" si="77"/>
        <v>21758</v>
      </c>
      <c r="J88" s="107">
        <f t="shared" si="77"/>
        <v>29131</v>
      </c>
      <c r="K88" s="107">
        <f t="shared" si="77"/>
        <v>46236</v>
      </c>
      <c r="L88" s="107">
        <f t="shared" si="77"/>
        <v>29261</v>
      </c>
      <c r="M88" s="107">
        <f t="shared" si="77"/>
        <v>26618</v>
      </c>
      <c r="N88" s="107">
        <f t="shared" si="77"/>
        <v>36090</v>
      </c>
      <c r="O88" s="107">
        <f t="shared" ref="O88:T88" si="78">O89+O90</f>
        <v>84553</v>
      </c>
      <c r="P88" s="107">
        <f t="shared" si="78"/>
        <v>174</v>
      </c>
      <c r="Q88" s="107">
        <f t="shared" si="78"/>
        <v>2294</v>
      </c>
      <c r="R88" s="107">
        <f t="shared" si="78"/>
        <v>5793</v>
      </c>
      <c r="S88" s="107">
        <f t="shared" si="78"/>
        <v>5293</v>
      </c>
      <c r="T88" s="107">
        <f t="shared" si="78"/>
        <v>290</v>
      </c>
      <c r="U88" s="107">
        <f t="shared" ref="U88" si="79">U89+U90</f>
        <v>1484</v>
      </c>
    </row>
    <row r="89" spans="2:21">
      <c r="B89" s="102" t="s">
        <v>211</v>
      </c>
      <c r="C89" s="102" t="s">
        <v>369</v>
      </c>
      <c r="D89" s="108">
        <v>11185</v>
      </c>
      <c r="E89" s="108">
        <v>32112</v>
      </c>
      <c r="F89" s="108">
        <v>39432</v>
      </c>
      <c r="G89" s="108">
        <v>76473</v>
      </c>
      <c r="H89" s="108">
        <v>10423</v>
      </c>
      <c r="I89" s="108">
        <v>14700</v>
      </c>
      <c r="J89" s="108">
        <v>21700</v>
      </c>
      <c r="K89" s="108">
        <v>38807</v>
      </c>
      <c r="L89" s="108">
        <v>5547</v>
      </c>
      <c r="M89" s="108">
        <v>2807</v>
      </c>
      <c r="N89" s="108">
        <v>12216</v>
      </c>
      <c r="O89" s="108">
        <v>60607</v>
      </c>
      <c r="P89" s="102">
        <v>61</v>
      </c>
      <c r="Q89" s="108">
        <v>318</v>
      </c>
      <c r="R89" s="108">
        <v>3789</v>
      </c>
      <c r="S89" s="108">
        <v>3246</v>
      </c>
      <c r="T89" s="102">
        <v>218</v>
      </c>
      <c r="U89" s="108">
        <v>1212</v>
      </c>
    </row>
    <row r="90" spans="2:21">
      <c r="B90" s="102" t="s">
        <v>212</v>
      </c>
      <c r="C90" s="102" t="s">
        <v>15</v>
      </c>
      <c r="D90" s="108">
        <v>360</v>
      </c>
      <c r="E90" s="108">
        <v>682</v>
      </c>
      <c r="F90" s="108">
        <v>1020</v>
      </c>
      <c r="G90" s="108">
        <v>1356</v>
      </c>
      <c r="H90" s="108">
        <v>6872</v>
      </c>
      <c r="I90" s="108">
        <v>7058</v>
      </c>
      <c r="J90" s="108">
        <v>7431</v>
      </c>
      <c r="K90" s="108">
        <v>7429</v>
      </c>
      <c r="L90" s="108">
        <v>23714</v>
      </c>
      <c r="M90" s="108">
        <v>23811</v>
      </c>
      <c r="N90" s="108">
        <v>23874</v>
      </c>
      <c r="O90" s="108">
        <v>23946</v>
      </c>
      <c r="P90" s="102">
        <v>113</v>
      </c>
      <c r="Q90" s="108">
        <v>1976</v>
      </c>
      <c r="R90" s="108">
        <v>2004</v>
      </c>
      <c r="S90" s="108">
        <v>2047</v>
      </c>
      <c r="T90" s="102">
        <v>72</v>
      </c>
      <c r="U90" s="108">
        <v>272</v>
      </c>
    </row>
    <row r="91" spans="2:21">
      <c r="B91" s="102" t="s">
        <v>213</v>
      </c>
      <c r="C91" s="102" t="s">
        <v>7</v>
      </c>
      <c r="D91" s="108">
        <v>0</v>
      </c>
      <c r="E91" s="108">
        <v>0</v>
      </c>
      <c r="F91" s="108">
        <v>0</v>
      </c>
      <c r="G91" s="108">
        <v>0</v>
      </c>
      <c r="H91" s="108">
        <v>25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08">
        <v>0</v>
      </c>
      <c r="R91" s="108">
        <v>0</v>
      </c>
      <c r="S91" s="108">
        <v>0</v>
      </c>
      <c r="T91" s="108">
        <v>0</v>
      </c>
      <c r="U91" s="108">
        <v>0</v>
      </c>
    </row>
    <row r="92" spans="2:21">
      <c r="B92" s="102" t="s">
        <v>370</v>
      </c>
      <c r="C92" s="102" t="s">
        <v>8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08">
        <v>0</v>
      </c>
      <c r="U92" s="108">
        <v>0</v>
      </c>
    </row>
    <row r="93" spans="2:21">
      <c r="B93" s="106" t="s">
        <v>371</v>
      </c>
      <c r="C93" s="106" t="s">
        <v>9</v>
      </c>
      <c r="D93" s="107">
        <f t="shared" ref="D93:N93" si="80">D91+D92</f>
        <v>0</v>
      </c>
      <c r="E93" s="107">
        <f t="shared" si="80"/>
        <v>0</v>
      </c>
      <c r="F93" s="107">
        <f t="shared" si="80"/>
        <v>0</v>
      </c>
      <c r="G93" s="107">
        <f t="shared" si="80"/>
        <v>0</v>
      </c>
      <c r="H93" s="107">
        <f t="shared" si="80"/>
        <v>25</v>
      </c>
      <c r="I93" s="107">
        <f t="shared" si="80"/>
        <v>0</v>
      </c>
      <c r="J93" s="107">
        <f t="shared" si="80"/>
        <v>0</v>
      </c>
      <c r="K93" s="107">
        <f t="shared" si="80"/>
        <v>0</v>
      </c>
      <c r="L93" s="107">
        <f t="shared" si="80"/>
        <v>0</v>
      </c>
      <c r="M93" s="107">
        <f t="shared" si="80"/>
        <v>0</v>
      </c>
      <c r="N93" s="107">
        <f t="shared" si="80"/>
        <v>0</v>
      </c>
      <c r="O93" s="107">
        <f t="shared" ref="O93:T93" si="81">O91+O92</f>
        <v>0</v>
      </c>
      <c r="P93" s="107">
        <f t="shared" si="81"/>
        <v>0</v>
      </c>
      <c r="Q93" s="107">
        <f t="shared" si="81"/>
        <v>0</v>
      </c>
      <c r="R93" s="107">
        <f t="shared" si="81"/>
        <v>0</v>
      </c>
      <c r="S93" s="107">
        <f t="shared" si="81"/>
        <v>0</v>
      </c>
      <c r="T93" s="107">
        <f t="shared" si="81"/>
        <v>0</v>
      </c>
      <c r="U93" s="107">
        <f t="shared" ref="U93" si="82">U91+U92</f>
        <v>0</v>
      </c>
    </row>
    <row r="94" spans="2:21">
      <c r="B94" s="128" t="s">
        <v>528</v>
      </c>
      <c r="C94" s="106" t="s">
        <v>524</v>
      </c>
      <c r="D94" s="107">
        <f>D82+D85+D88+D93+D87</f>
        <v>27736</v>
      </c>
      <c r="E94" s="107">
        <f t="shared" ref="E94:O94" si="83">E82+E85+E88+E93+E87+E86</f>
        <v>70603</v>
      </c>
      <c r="F94" s="107">
        <f t="shared" si="83"/>
        <v>117865</v>
      </c>
      <c r="G94" s="107">
        <f t="shared" si="83"/>
        <v>393706</v>
      </c>
      <c r="H94" s="107">
        <f t="shared" si="83"/>
        <v>101862</v>
      </c>
      <c r="I94" s="107">
        <f t="shared" si="83"/>
        <v>177506</v>
      </c>
      <c r="J94" s="107">
        <f t="shared" si="83"/>
        <v>209406</v>
      </c>
      <c r="K94" s="107">
        <f t="shared" si="83"/>
        <v>398730</v>
      </c>
      <c r="L94" s="107">
        <f t="shared" si="83"/>
        <v>86999</v>
      </c>
      <c r="M94" s="107">
        <f t="shared" si="83"/>
        <v>195950</v>
      </c>
      <c r="N94" s="107">
        <f t="shared" si="83"/>
        <v>299866</v>
      </c>
      <c r="O94" s="107">
        <f t="shared" si="83"/>
        <v>371642</v>
      </c>
      <c r="P94" s="107">
        <f t="shared" ref="P94:U94" si="84">P82+P85+P88+P93+P87+P86</f>
        <v>41768</v>
      </c>
      <c r="Q94" s="107">
        <f t="shared" si="84"/>
        <v>80329</v>
      </c>
      <c r="R94" s="107">
        <f t="shared" si="84"/>
        <v>127169</v>
      </c>
      <c r="S94" s="107">
        <f t="shared" si="84"/>
        <v>103234</v>
      </c>
      <c r="T94" s="107">
        <f t="shared" si="84"/>
        <v>-2310</v>
      </c>
      <c r="U94" s="107">
        <f t="shared" si="84"/>
        <v>-117932</v>
      </c>
    </row>
    <row r="95" spans="2:21">
      <c r="B95" s="102" t="s">
        <v>346</v>
      </c>
      <c r="C95" s="102" t="s">
        <v>372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08">
        <v>0</v>
      </c>
      <c r="R95" s="108">
        <v>0</v>
      </c>
      <c r="S95" s="108">
        <v>0</v>
      </c>
      <c r="T95" s="108">
        <v>0</v>
      </c>
      <c r="U95" s="108">
        <v>0</v>
      </c>
    </row>
    <row r="96" spans="2:21">
      <c r="B96" s="102" t="s">
        <v>373</v>
      </c>
      <c r="C96" s="102" t="s">
        <v>347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108">
        <v>0</v>
      </c>
      <c r="K96" s="108">
        <v>0</v>
      </c>
      <c r="L96" s="108">
        <v>0</v>
      </c>
      <c r="M96" s="108">
        <v>0</v>
      </c>
      <c r="N96" s="108">
        <v>0</v>
      </c>
      <c r="O96" s="108">
        <v>0</v>
      </c>
      <c r="P96" s="108">
        <v>0</v>
      </c>
      <c r="Q96" s="108">
        <v>0</v>
      </c>
      <c r="R96" s="108">
        <v>0</v>
      </c>
      <c r="S96" s="108">
        <v>0</v>
      </c>
      <c r="T96" s="108">
        <v>0</v>
      </c>
      <c r="U96" s="108">
        <v>0</v>
      </c>
    </row>
    <row r="97" spans="2:21">
      <c r="B97" s="102" t="s">
        <v>474</v>
      </c>
      <c r="C97" s="102" t="s">
        <v>473</v>
      </c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</row>
    <row r="98" spans="2:21">
      <c r="B98" s="106" t="s">
        <v>529</v>
      </c>
      <c r="C98" s="106" t="s">
        <v>525</v>
      </c>
      <c r="D98" s="107">
        <f t="shared" ref="D98:N98" si="85">D94+D95+D96</f>
        <v>27736</v>
      </c>
      <c r="E98" s="107">
        <f t="shared" si="85"/>
        <v>70603</v>
      </c>
      <c r="F98" s="107">
        <f t="shared" si="85"/>
        <v>117865</v>
      </c>
      <c r="G98" s="107">
        <f t="shared" si="85"/>
        <v>393706</v>
      </c>
      <c r="H98" s="107">
        <f t="shared" si="85"/>
        <v>101862</v>
      </c>
      <c r="I98" s="107">
        <f t="shared" si="85"/>
        <v>177506</v>
      </c>
      <c r="J98" s="107">
        <f t="shared" si="85"/>
        <v>209406</v>
      </c>
      <c r="K98" s="107">
        <f t="shared" si="85"/>
        <v>398730</v>
      </c>
      <c r="L98" s="107">
        <f t="shared" si="85"/>
        <v>86999</v>
      </c>
      <c r="M98" s="107">
        <f t="shared" si="85"/>
        <v>195950</v>
      </c>
      <c r="N98" s="107">
        <f t="shared" si="85"/>
        <v>299866</v>
      </c>
      <c r="O98" s="107">
        <f t="shared" ref="O98:T98" si="86">O94+O95+O96</f>
        <v>371642</v>
      </c>
      <c r="P98" s="107">
        <f t="shared" si="86"/>
        <v>41768</v>
      </c>
      <c r="Q98" s="107">
        <f t="shared" si="86"/>
        <v>80329</v>
      </c>
      <c r="R98" s="107">
        <f t="shared" si="86"/>
        <v>127169</v>
      </c>
      <c r="S98" s="107">
        <f t="shared" si="86"/>
        <v>103234</v>
      </c>
      <c r="T98" s="107">
        <f t="shared" si="86"/>
        <v>-2310</v>
      </c>
      <c r="U98" s="107">
        <f t="shared" ref="U98" si="87">U94+U95+U96</f>
        <v>-117932</v>
      </c>
    </row>
    <row r="99" spans="2:21">
      <c r="B99" s="102" t="s">
        <v>216</v>
      </c>
      <c r="C99" s="102" t="s">
        <v>325</v>
      </c>
      <c r="D99" s="108">
        <v>-1317</v>
      </c>
      <c r="E99" s="108">
        <v>-2558</v>
      </c>
      <c r="F99" s="108">
        <v>-3765</v>
      </c>
      <c r="G99" s="108">
        <v>-4957</v>
      </c>
      <c r="H99" s="108">
        <v>0</v>
      </c>
      <c r="I99" s="108">
        <v>0</v>
      </c>
      <c r="J99" s="108">
        <v>0</v>
      </c>
      <c r="K99" s="108">
        <v>0</v>
      </c>
      <c r="L99" s="108">
        <v>0</v>
      </c>
      <c r="M99" s="108">
        <v>0</v>
      </c>
      <c r="N99" s="108">
        <v>0</v>
      </c>
      <c r="O99" s="108">
        <v>0</v>
      </c>
      <c r="P99" s="108">
        <v>0</v>
      </c>
      <c r="Q99" s="108">
        <v>0</v>
      </c>
      <c r="R99" s="108">
        <v>0</v>
      </c>
      <c r="S99" s="108">
        <v>0</v>
      </c>
      <c r="T99" s="108">
        <v>0</v>
      </c>
      <c r="U99" s="108">
        <v>0</v>
      </c>
    </row>
    <row r="100" spans="2:21">
      <c r="B100" s="106" t="s">
        <v>218</v>
      </c>
      <c r="C100" s="106" t="s">
        <v>526</v>
      </c>
      <c r="D100" s="107">
        <f t="shared" ref="D100:N100" si="88">D98+D99</f>
        <v>26419</v>
      </c>
      <c r="E100" s="107">
        <f t="shared" si="88"/>
        <v>68045</v>
      </c>
      <c r="F100" s="107">
        <f t="shared" si="88"/>
        <v>114100</v>
      </c>
      <c r="G100" s="107">
        <f t="shared" si="88"/>
        <v>388749</v>
      </c>
      <c r="H100" s="107">
        <f t="shared" si="88"/>
        <v>101862</v>
      </c>
      <c r="I100" s="107">
        <f t="shared" si="88"/>
        <v>177506</v>
      </c>
      <c r="J100" s="107">
        <f t="shared" si="88"/>
        <v>209406</v>
      </c>
      <c r="K100" s="107">
        <f t="shared" si="88"/>
        <v>398730</v>
      </c>
      <c r="L100" s="107">
        <f t="shared" si="88"/>
        <v>86999</v>
      </c>
      <c r="M100" s="107">
        <f t="shared" si="88"/>
        <v>195950</v>
      </c>
      <c r="N100" s="107">
        <f t="shared" si="88"/>
        <v>299866</v>
      </c>
      <c r="O100" s="107">
        <f t="shared" ref="O100:T100" si="89">O98+O99</f>
        <v>371642</v>
      </c>
      <c r="P100" s="107">
        <f t="shared" si="89"/>
        <v>41768</v>
      </c>
      <c r="Q100" s="107">
        <f t="shared" si="89"/>
        <v>80329</v>
      </c>
      <c r="R100" s="107">
        <f t="shared" si="89"/>
        <v>127169</v>
      </c>
      <c r="S100" s="107">
        <f t="shared" si="89"/>
        <v>103234</v>
      </c>
      <c r="T100" s="107">
        <f t="shared" si="89"/>
        <v>-2310</v>
      </c>
      <c r="U100" s="107">
        <f t="shared" ref="U100" si="90">U98+U99</f>
        <v>-117932</v>
      </c>
    </row>
    <row r="101" spans="2:21">
      <c r="B101" s="102" t="s">
        <v>219</v>
      </c>
      <c r="C101" s="102" t="s">
        <v>10</v>
      </c>
      <c r="D101" s="108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  <c r="L101" s="108">
        <v>0</v>
      </c>
      <c r="M101" s="108">
        <v>0</v>
      </c>
      <c r="N101" s="108">
        <v>0</v>
      </c>
      <c r="O101" s="108">
        <v>0</v>
      </c>
      <c r="P101" s="108">
        <v>0</v>
      </c>
      <c r="Q101" s="108">
        <v>0</v>
      </c>
      <c r="R101" s="108">
        <v>0</v>
      </c>
      <c r="S101" s="108">
        <v>0</v>
      </c>
      <c r="T101" s="108">
        <v>0</v>
      </c>
      <c r="U101" s="108">
        <v>0</v>
      </c>
    </row>
    <row r="102" spans="2:21">
      <c r="B102" s="106" t="s">
        <v>530</v>
      </c>
      <c r="C102" s="106" t="s">
        <v>527</v>
      </c>
      <c r="D102" s="107">
        <f t="shared" ref="D102:N102" si="91">D100+D101</f>
        <v>26419</v>
      </c>
      <c r="E102" s="107">
        <f t="shared" si="91"/>
        <v>68045</v>
      </c>
      <c r="F102" s="107">
        <f t="shared" si="91"/>
        <v>114100</v>
      </c>
      <c r="G102" s="107">
        <f t="shared" si="91"/>
        <v>388749</v>
      </c>
      <c r="H102" s="107">
        <f t="shared" si="91"/>
        <v>101862</v>
      </c>
      <c r="I102" s="107">
        <f t="shared" si="91"/>
        <v>177506</v>
      </c>
      <c r="J102" s="107">
        <f t="shared" si="91"/>
        <v>209406</v>
      </c>
      <c r="K102" s="107">
        <f t="shared" si="91"/>
        <v>398730</v>
      </c>
      <c r="L102" s="107">
        <f t="shared" si="91"/>
        <v>86999</v>
      </c>
      <c r="M102" s="107">
        <f t="shared" si="91"/>
        <v>195950</v>
      </c>
      <c r="N102" s="107">
        <f t="shared" si="91"/>
        <v>299866</v>
      </c>
      <c r="O102" s="107">
        <f t="shared" ref="O102:T102" si="92">O100+O101</f>
        <v>371642</v>
      </c>
      <c r="P102" s="107">
        <f t="shared" si="92"/>
        <v>41768</v>
      </c>
      <c r="Q102" s="107">
        <f t="shared" si="92"/>
        <v>80329</v>
      </c>
      <c r="R102" s="107">
        <f t="shared" si="92"/>
        <v>127169</v>
      </c>
      <c r="S102" s="107">
        <f t="shared" si="92"/>
        <v>103234</v>
      </c>
      <c r="T102" s="107">
        <f t="shared" si="92"/>
        <v>-2310</v>
      </c>
      <c r="U102" s="107">
        <f t="shared" ref="U102" si="93">U100+U101</f>
        <v>-117932</v>
      </c>
    </row>
    <row r="103" spans="2:21">
      <c r="B103" s="102" t="s">
        <v>500</v>
      </c>
      <c r="C103" s="102" t="s">
        <v>331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107">
        <v>0</v>
      </c>
      <c r="M103" s="107">
        <v>0</v>
      </c>
      <c r="N103" s="107">
        <v>0</v>
      </c>
      <c r="O103" s="107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</row>
    <row r="104" spans="2:21">
      <c r="B104" s="106" t="s">
        <v>499</v>
      </c>
      <c r="C104" s="106" t="s">
        <v>374</v>
      </c>
      <c r="D104" s="107">
        <f>D102+D103</f>
        <v>26419</v>
      </c>
      <c r="E104" s="107">
        <f t="shared" ref="E104:R104" si="94">E102+E103</f>
        <v>68045</v>
      </c>
      <c r="F104" s="107">
        <f t="shared" si="94"/>
        <v>114100</v>
      </c>
      <c r="G104" s="107">
        <f t="shared" si="94"/>
        <v>388749</v>
      </c>
      <c r="H104" s="107">
        <f t="shared" si="94"/>
        <v>101862</v>
      </c>
      <c r="I104" s="107">
        <f t="shared" si="94"/>
        <v>177506</v>
      </c>
      <c r="J104" s="107">
        <f t="shared" si="94"/>
        <v>209406</v>
      </c>
      <c r="K104" s="107">
        <f t="shared" si="94"/>
        <v>398730</v>
      </c>
      <c r="L104" s="107">
        <f t="shared" si="94"/>
        <v>86999</v>
      </c>
      <c r="M104" s="107">
        <f t="shared" si="94"/>
        <v>195950</v>
      </c>
      <c r="N104" s="107">
        <f t="shared" si="94"/>
        <v>299866</v>
      </c>
      <c r="O104" s="107">
        <f t="shared" si="94"/>
        <v>371642</v>
      </c>
      <c r="P104" s="107">
        <f t="shared" si="94"/>
        <v>41768</v>
      </c>
      <c r="Q104" s="107">
        <f t="shared" si="94"/>
        <v>80329</v>
      </c>
      <c r="R104" s="107">
        <f t="shared" si="94"/>
        <v>127169</v>
      </c>
      <c r="S104" s="107">
        <f>S102+S103</f>
        <v>103234</v>
      </c>
      <c r="T104" s="107">
        <f t="shared" ref="T104:U104" si="95">T102+T103</f>
        <v>-2310</v>
      </c>
      <c r="U104" s="107">
        <f t="shared" si="95"/>
        <v>-117932</v>
      </c>
    </row>
    <row r="105" spans="2:21">
      <c r="B105" s="102" t="s">
        <v>375</v>
      </c>
      <c r="C105" s="102" t="s">
        <v>135</v>
      </c>
      <c r="D105" s="108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0</v>
      </c>
      <c r="J105" s="108">
        <v>0</v>
      </c>
      <c r="K105" s="102">
        <v>0</v>
      </c>
      <c r="L105" s="102">
        <v>0</v>
      </c>
      <c r="M105" s="108">
        <v>0</v>
      </c>
      <c r="N105" s="108">
        <v>0</v>
      </c>
      <c r="O105" s="102">
        <v>0</v>
      </c>
      <c r="P105" s="102">
        <v>0</v>
      </c>
      <c r="Q105" s="108">
        <v>0</v>
      </c>
      <c r="R105" s="108">
        <v>0</v>
      </c>
      <c r="S105" s="108">
        <v>0</v>
      </c>
      <c r="T105" s="102">
        <v>0</v>
      </c>
      <c r="U105" s="108">
        <v>0</v>
      </c>
    </row>
    <row r="106" spans="2:21">
      <c r="B106" s="102" t="s">
        <v>376</v>
      </c>
      <c r="C106" s="102" t="s">
        <v>37</v>
      </c>
      <c r="D106" s="108">
        <v>46944</v>
      </c>
      <c r="E106" s="108">
        <v>44057</v>
      </c>
      <c r="F106" s="108">
        <v>43910</v>
      </c>
      <c r="G106" s="108">
        <v>46985</v>
      </c>
      <c r="H106" s="108">
        <v>0</v>
      </c>
      <c r="I106" s="108">
        <v>0</v>
      </c>
      <c r="J106" s="108">
        <v>0</v>
      </c>
      <c r="K106" s="108">
        <v>0</v>
      </c>
      <c r="L106" s="108">
        <v>0</v>
      </c>
      <c r="M106" s="108">
        <v>0</v>
      </c>
      <c r="N106" s="108">
        <v>0</v>
      </c>
      <c r="O106" s="108">
        <v>0</v>
      </c>
      <c r="P106" s="108">
        <v>0</v>
      </c>
      <c r="Q106" s="108">
        <v>0</v>
      </c>
      <c r="R106" s="108">
        <v>0</v>
      </c>
      <c r="S106" s="108">
        <v>0</v>
      </c>
      <c r="T106" s="108">
        <v>0</v>
      </c>
      <c r="U106" s="108">
        <v>0</v>
      </c>
    </row>
    <row r="107" spans="2:21">
      <c r="B107" s="102" t="s">
        <v>377</v>
      </c>
      <c r="C107" s="102" t="s">
        <v>378</v>
      </c>
      <c r="D107" s="108">
        <v>13347</v>
      </c>
      <c r="E107" s="108">
        <v>11431</v>
      </c>
      <c r="F107" s="108">
        <v>11898</v>
      </c>
      <c r="G107" s="108">
        <v>10951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08">
        <v>0</v>
      </c>
      <c r="R107" s="108">
        <v>0</v>
      </c>
      <c r="S107" s="108">
        <v>0</v>
      </c>
      <c r="T107" s="108">
        <v>0</v>
      </c>
      <c r="U107" s="108">
        <v>0</v>
      </c>
    </row>
    <row r="108" spans="2:21">
      <c r="Q108" s="108"/>
      <c r="R108" s="108"/>
      <c r="S108" s="108"/>
      <c r="U108" s="108"/>
    </row>
    <row r="109" spans="2:21">
      <c r="B109" s="104" t="s">
        <v>383</v>
      </c>
      <c r="C109" s="104" t="s">
        <v>384</v>
      </c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9"/>
      <c r="R109" s="109"/>
      <c r="S109" s="109"/>
      <c r="T109" s="105"/>
      <c r="U109" s="109"/>
    </row>
    <row r="110" spans="2:21">
      <c r="B110" s="106" t="s">
        <v>352</v>
      </c>
      <c r="C110" s="106" t="s">
        <v>353</v>
      </c>
      <c r="D110" s="107">
        <f t="shared" ref="D110:O110" si="96">D111+D112+D113</f>
        <v>737652</v>
      </c>
      <c r="E110" s="107">
        <f t="shared" si="96"/>
        <v>1500940</v>
      </c>
      <c r="F110" s="107">
        <f t="shared" si="96"/>
        <v>2283636</v>
      </c>
      <c r="G110" s="107">
        <f t="shared" si="96"/>
        <v>3084524</v>
      </c>
      <c r="H110" s="107">
        <f t="shared" si="96"/>
        <v>803807</v>
      </c>
      <c r="I110" s="107">
        <f t="shared" si="96"/>
        <v>1633661</v>
      </c>
      <c r="J110" s="107">
        <f t="shared" si="96"/>
        <v>2436672</v>
      </c>
      <c r="K110" s="107">
        <f t="shared" si="96"/>
        <v>3184344</v>
      </c>
      <c r="L110" s="107">
        <f t="shared" si="96"/>
        <v>776884</v>
      </c>
      <c r="M110" s="107">
        <f t="shared" si="96"/>
        <v>1498865</v>
      </c>
      <c r="N110" s="107">
        <f t="shared" si="96"/>
        <v>2181980</v>
      </c>
      <c r="O110" s="107">
        <f t="shared" si="96"/>
        <v>2848726</v>
      </c>
      <c r="P110" s="107">
        <f t="shared" ref="P110:U110" si="97">P111+P112+P113</f>
        <v>670178</v>
      </c>
      <c r="Q110" s="107">
        <f t="shared" si="97"/>
        <v>1336837</v>
      </c>
      <c r="R110" s="107">
        <f t="shared" si="97"/>
        <v>2040357</v>
      </c>
      <c r="S110" s="107">
        <f t="shared" si="97"/>
        <v>2798234</v>
      </c>
      <c r="T110" s="107">
        <f t="shared" si="97"/>
        <v>862351</v>
      </c>
      <c r="U110" s="107">
        <f t="shared" si="97"/>
        <v>1834112</v>
      </c>
    </row>
    <row r="111" spans="2:21">
      <c r="B111" s="102" t="s">
        <v>354</v>
      </c>
      <c r="C111" s="102" t="s">
        <v>355</v>
      </c>
      <c r="D111" s="108">
        <f t="shared" ref="D111:S111" si="98">D6+D41+D76</f>
        <v>912897</v>
      </c>
      <c r="E111" s="108">
        <f t="shared" si="98"/>
        <v>1852496</v>
      </c>
      <c r="F111" s="108">
        <f t="shared" si="98"/>
        <v>2810476</v>
      </c>
      <c r="G111" s="108">
        <f t="shared" si="98"/>
        <v>3805457</v>
      </c>
      <c r="H111" s="108">
        <f t="shared" si="98"/>
        <v>986612</v>
      </c>
      <c r="I111" s="108">
        <f t="shared" si="98"/>
        <v>1998196</v>
      </c>
      <c r="J111" s="108">
        <f t="shared" si="98"/>
        <v>2983371</v>
      </c>
      <c r="K111" s="108">
        <f t="shared" si="98"/>
        <v>3908665</v>
      </c>
      <c r="L111" s="108">
        <f t="shared" si="98"/>
        <v>937951</v>
      </c>
      <c r="M111" s="108">
        <f t="shared" si="98"/>
        <v>1756968</v>
      </c>
      <c r="N111" s="108">
        <f t="shared" si="98"/>
        <v>2483553</v>
      </c>
      <c r="O111" s="108">
        <f t="shared" si="98"/>
        <v>3159045</v>
      </c>
      <c r="P111" s="108">
        <f t="shared" si="98"/>
        <v>682536</v>
      </c>
      <c r="Q111" s="108">
        <f t="shared" si="98"/>
        <v>1351668</v>
      </c>
      <c r="R111" s="108">
        <f t="shared" si="98"/>
        <v>2049239</v>
      </c>
      <c r="S111" s="108">
        <f t="shared" si="98"/>
        <v>2837304</v>
      </c>
      <c r="T111" s="108">
        <f>T6+T41+T76</f>
        <v>1023103</v>
      </c>
      <c r="U111" s="108">
        <f t="shared" ref="U111" si="99">U6+U41+U76</f>
        <v>2362609</v>
      </c>
    </row>
    <row r="112" spans="2:21">
      <c r="B112" s="102" t="s">
        <v>356</v>
      </c>
      <c r="C112" s="102" t="s">
        <v>357</v>
      </c>
      <c r="D112" s="108">
        <f t="shared" ref="D112:S112" si="100">D7+D42+D77</f>
        <v>35078</v>
      </c>
      <c r="E112" s="108">
        <f t="shared" si="100"/>
        <v>87253</v>
      </c>
      <c r="F112" s="108">
        <f t="shared" si="100"/>
        <v>125716</v>
      </c>
      <c r="G112" s="108">
        <f t="shared" si="100"/>
        <v>150915</v>
      </c>
      <c r="H112" s="108">
        <f t="shared" si="100"/>
        <v>33474</v>
      </c>
      <c r="I112" s="108">
        <f t="shared" si="100"/>
        <v>68916</v>
      </c>
      <c r="J112" s="108">
        <f t="shared" si="100"/>
        <v>113080</v>
      </c>
      <c r="K112" s="108">
        <f t="shared" si="100"/>
        <v>153525</v>
      </c>
      <c r="L112" s="108">
        <f t="shared" si="100"/>
        <v>22486</v>
      </c>
      <c r="M112" s="108">
        <f t="shared" si="100"/>
        <v>60790</v>
      </c>
      <c r="N112" s="108">
        <f t="shared" si="100"/>
        <v>115114</v>
      </c>
      <c r="O112" s="108">
        <f t="shared" si="100"/>
        <v>173828</v>
      </c>
      <c r="P112" s="108">
        <f t="shared" si="100"/>
        <v>62130</v>
      </c>
      <c r="Q112" s="108">
        <f t="shared" si="100"/>
        <v>110917</v>
      </c>
      <c r="R112" s="108">
        <f t="shared" si="100"/>
        <v>163361</v>
      </c>
      <c r="S112" s="108">
        <f t="shared" si="100"/>
        <v>199338</v>
      </c>
      <c r="T112" s="108">
        <f t="shared" ref="T112:U112" si="101">T7+T42+T77</f>
        <v>22660</v>
      </c>
      <c r="U112" s="108">
        <f t="shared" si="101"/>
        <v>32645</v>
      </c>
    </row>
    <row r="113" spans="2:21">
      <c r="B113" s="102" t="s">
        <v>358</v>
      </c>
      <c r="C113" s="102" t="s">
        <v>359</v>
      </c>
      <c r="D113" s="108">
        <f t="shared" ref="D113:S113" si="102">D8+D43+D78</f>
        <v>-210323</v>
      </c>
      <c r="E113" s="108">
        <f t="shared" si="102"/>
        <v>-438809</v>
      </c>
      <c r="F113" s="108">
        <f t="shared" si="102"/>
        <v>-652556</v>
      </c>
      <c r="G113" s="108">
        <f t="shared" si="102"/>
        <v>-871848</v>
      </c>
      <c r="H113" s="108">
        <f t="shared" si="102"/>
        <v>-216279</v>
      </c>
      <c r="I113" s="108">
        <f t="shared" si="102"/>
        <v>-433451</v>
      </c>
      <c r="J113" s="108">
        <f t="shared" si="102"/>
        <v>-659779</v>
      </c>
      <c r="K113" s="108">
        <f t="shared" si="102"/>
        <v>-877846</v>
      </c>
      <c r="L113" s="108">
        <f t="shared" si="102"/>
        <v>-183553</v>
      </c>
      <c r="M113" s="108">
        <f t="shared" si="102"/>
        <v>-318893</v>
      </c>
      <c r="N113" s="108">
        <f t="shared" si="102"/>
        <v>-416687</v>
      </c>
      <c r="O113" s="108">
        <f t="shared" si="102"/>
        <v>-484147</v>
      </c>
      <c r="P113" s="108">
        <f t="shared" si="102"/>
        <v>-74488</v>
      </c>
      <c r="Q113" s="108">
        <f t="shared" si="102"/>
        <v>-125748</v>
      </c>
      <c r="R113" s="108">
        <f t="shared" si="102"/>
        <v>-172243</v>
      </c>
      <c r="S113" s="108">
        <f t="shared" si="102"/>
        <v>-238408</v>
      </c>
      <c r="T113" s="108">
        <f t="shared" ref="T113:U113" si="103">T8+T43+T78</f>
        <v>-183412</v>
      </c>
      <c r="U113" s="108">
        <f t="shared" si="103"/>
        <v>-561142</v>
      </c>
    </row>
    <row r="114" spans="2:21">
      <c r="B114" s="106" t="s">
        <v>360</v>
      </c>
      <c r="C114" s="106" t="s">
        <v>361</v>
      </c>
      <c r="D114" s="107">
        <f t="shared" ref="D114:N114" si="104">D115+D116</f>
        <v>0</v>
      </c>
      <c r="E114" s="107">
        <f t="shared" si="104"/>
        <v>0</v>
      </c>
      <c r="F114" s="107">
        <f t="shared" si="104"/>
        <v>0</v>
      </c>
      <c r="G114" s="107">
        <f t="shared" si="104"/>
        <v>0</v>
      </c>
      <c r="H114" s="107">
        <f t="shared" si="104"/>
        <v>0</v>
      </c>
      <c r="I114" s="107">
        <f t="shared" si="104"/>
        <v>0</v>
      </c>
      <c r="J114" s="107">
        <f t="shared" si="104"/>
        <v>0</v>
      </c>
      <c r="K114" s="107">
        <f t="shared" si="104"/>
        <v>0</v>
      </c>
      <c r="L114" s="107">
        <f t="shared" si="104"/>
        <v>0</v>
      </c>
      <c r="M114" s="107">
        <f t="shared" si="104"/>
        <v>0</v>
      </c>
      <c r="N114" s="107">
        <f t="shared" si="104"/>
        <v>0</v>
      </c>
      <c r="O114" s="107">
        <f t="shared" ref="O114:T114" si="105">O115+O116</f>
        <v>0</v>
      </c>
      <c r="P114" s="107">
        <f t="shared" si="105"/>
        <v>0</v>
      </c>
      <c r="Q114" s="107">
        <f t="shared" si="105"/>
        <v>0</v>
      </c>
      <c r="R114" s="107">
        <f t="shared" si="105"/>
        <v>0</v>
      </c>
      <c r="S114" s="107">
        <f t="shared" si="105"/>
        <v>0</v>
      </c>
      <c r="T114" s="107">
        <f t="shared" si="105"/>
        <v>0</v>
      </c>
      <c r="U114" s="107">
        <f t="shared" ref="U114" si="106">U115+U116</f>
        <v>0</v>
      </c>
    </row>
    <row r="115" spans="2:21">
      <c r="B115" s="102" t="s">
        <v>362</v>
      </c>
      <c r="C115" s="102" t="s">
        <v>363</v>
      </c>
      <c r="D115" s="108">
        <f t="shared" ref="D115:S115" si="107">D10+D45+D80</f>
        <v>829017</v>
      </c>
      <c r="E115" s="108">
        <f t="shared" si="107"/>
        <v>1684006</v>
      </c>
      <c r="F115" s="108">
        <f t="shared" si="107"/>
        <v>2559447</v>
      </c>
      <c r="G115" s="108">
        <f t="shared" si="107"/>
        <v>2706936</v>
      </c>
      <c r="H115" s="108">
        <f t="shared" si="107"/>
        <v>720828</v>
      </c>
      <c r="I115" s="108">
        <f t="shared" si="107"/>
        <v>1465118</v>
      </c>
      <c r="J115" s="108">
        <f t="shared" si="107"/>
        <v>2226580</v>
      </c>
      <c r="K115" s="108">
        <f t="shared" si="107"/>
        <v>3011710</v>
      </c>
      <c r="L115" s="108">
        <f t="shared" si="107"/>
        <v>736300</v>
      </c>
      <c r="M115" s="108">
        <f t="shared" si="107"/>
        <v>1180373</v>
      </c>
      <c r="N115" s="108">
        <f t="shared" si="107"/>
        <v>1520428</v>
      </c>
      <c r="O115" s="108">
        <f t="shared" si="107"/>
        <v>1833816</v>
      </c>
      <c r="P115" s="108">
        <f t="shared" si="107"/>
        <v>306553</v>
      </c>
      <c r="Q115" s="108">
        <f t="shared" si="107"/>
        <v>483212</v>
      </c>
      <c r="R115" s="108">
        <f t="shared" si="107"/>
        <v>725719</v>
      </c>
      <c r="S115" s="108">
        <f t="shared" si="107"/>
        <v>1197195</v>
      </c>
      <c r="T115" s="108">
        <f t="shared" ref="T115:U115" si="108">T10+T45+T80</f>
        <v>864448</v>
      </c>
      <c r="U115" s="108">
        <f t="shared" si="108"/>
        <v>2365311</v>
      </c>
    </row>
    <row r="116" spans="2:21">
      <c r="B116" s="102" t="s">
        <v>364</v>
      </c>
      <c r="C116" s="102" t="s">
        <v>365</v>
      </c>
      <c r="D116" s="108">
        <f t="shared" ref="D116:S116" si="109">D11+D46+D81</f>
        <v>-829017</v>
      </c>
      <c r="E116" s="108">
        <f t="shared" si="109"/>
        <v>-1684006</v>
      </c>
      <c r="F116" s="108">
        <f t="shared" si="109"/>
        <v>-2559447</v>
      </c>
      <c r="G116" s="108">
        <f t="shared" si="109"/>
        <v>-2706936</v>
      </c>
      <c r="H116" s="108">
        <f t="shared" si="109"/>
        <v>-720828</v>
      </c>
      <c r="I116" s="108">
        <f t="shared" si="109"/>
        <v>-1465118</v>
      </c>
      <c r="J116" s="108">
        <f t="shared" si="109"/>
        <v>-2226580</v>
      </c>
      <c r="K116" s="108">
        <f t="shared" si="109"/>
        <v>-3011710</v>
      </c>
      <c r="L116" s="108">
        <f t="shared" si="109"/>
        <v>-736300</v>
      </c>
      <c r="M116" s="108">
        <f t="shared" si="109"/>
        <v>-1180373</v>
      </c>
      <c r="N116" s="108">
        <f t="shared" si="109"/>
        <v>-1520428</v>
      </c>
      <c r="O116" s="108">
        <f t="shared" si="109"/>
        <v>-1833816</v>
      </c>
      <c r="P116" s="108">
        <f t="shared" si="109"/>
        <v>-306553</v>
      </c>
      <c r="Q116" s="108">
        <f t="shared" si="109"/>
        <v>-483212</v>
      </c>
      <c r="R116" s="108">
        <f t="shared" si="109"/>
        <v>-725719</v>
      </c>
      <c r="S116" s="108">
        <f t="shared" si="109"/>
        <v>-1197195</v>
      </c>
      <c r="T116" s="108">
        <f t="shared" ref="T116:U116" si="110">T11+T46+T81</f>
        <v>-864448</v>
      </c>
      <c r="U116" s="108">
        <f t="shared" si="110"/>
        <v>-2365311</v>
      </c>
    </row>
    <row r="117" spans="2:21">
      <c r="B117" s="106" t="s">
        <v>204</v>
      </c>
      <c r="C117" s="106" t="s">
        <v>2</v>
      </c>
      <c r="D117" s="107">
        <f t="shared" ref="D117:N117" si="111">D110+D114</f>
        <v>737652</v>
      </c>
      <c r="E117" s="107">
        <f t="shared" si="111"/>
        <v>1500940</v>
      </c>
      <c r="F117" s="107">
        <f t="shared" si="111"/>
        <v>2283636</v>
      </c>
      <c r="G117" s="107">
        <f t="shared" si="111"/>
        <v>3084524</v>
      </c>
      <c r="H117" s="107">
        <f t="shared" si="111"/>
        <v>803807</v>
      </c>
      <c r="I117" s="107">
        <f t="shared" si="111"/>
        <v>1633661</v>
      </c>
      <c r="J117" s="107">
        <f t="shared" si="111"/>
        <v>2436672</v>
      </c>
      <c r="K117" s="107">
        <f t="shared" si="111"/>
        <v>3184344</v>
      </c>
      <c r="L117" s="107">
        <f t="shared" si="111"/>
        <v>776884</v>
      </c>
      <c r="M117" s="107">
        <f t="shared" si="111"/>
        <v>1498865</v>
      </c>
      <c r="N117" s="107">
        <f t="shared" si="111"/>
        <v>2181980</v>
      </c>
      <c r="O117" s="107">
        <f t="shared" ref="O117:T117" si="112">O110+O114</f>
        <v>2848726</v>
      </c>
      <c r="P117" s="107">
        <f t="shared" si="112"/>
        <v>670178</v>
      </c>
      <c r="Q117" s="107">
        <f t="shared" si="112"/>
        <v>1336837</v>
      </c>
      <c r="R117" s="107">
        <f t="shared" si="112"/>
        <v>2040357</v>
      </c>
      <c r="S117" s="107">
        <f t="shared" si="112"/>
        <v>2798234</v>
      </c>
      <c r="T117" s="107">
        <f t="shared" si="112"/>
        <v>862351</v>
      </c>
      <c r="U117" s="107">
        <f t="shared" ref="U117" si="113">U110+U114</f>
        <v>1834112</v>
      </c>
    </row>
    <row r="118" spans="2:21">
      <c r="B118" s="102" t="s">
        <v>205</v>
      </c>
      <c r="C118" s="102" t="s">
        <v>366</v>
      </c>
      <c r="D118" s="108">
        <f t="shared" ref="D118:S118" si="114">D13+D48+D83</f>
        <v>264369</v>
      </c>
      <c r="E118" s="108">
        <f t="shared" si="114"/>
        <v>529392</v>
      </c>
      <c r="F118" s="108">
        <f t="shared" si="114"/>
        <v>812859</v>
      </c>
      <c r="G118" s="108">
        <f t="shared" si="114"/>
        <v>1099468</v>
      </c>
      <c r="H118" s="108">
        <f t="shared" si="114"/>
        <v>266948</v>
      </c>
      <c r="I118" s="108">
        <f t="shared" si="114"/>
        <v>549422</v>
      </c>
      <c r="J118" s="108">
        <f t="shared" si="114"/>
        <v>851631</v>
      </c>
      <c r="K118" s="108">
        <f t="shared" si="114"/>
        <v>1157052</v>
      </c>
      <c r="L118" s="108">
        <f t="shared" si="114"/>
        <v>269347</v>
      </c>
      <c r="M118" s="108">
        <f t="shared" si="114"/>
        <v>563597</v>
      </c>
      <c r="N118" s="108">
        <f t="shared" si="114"/>
        <v>893025</v>
      </c>
      <c r="O118" s="108">
        <f t="shared" si="114"/>
        <v>1215749</v>
      </c>
      <c r="P118" s="108">
        <f t="shared" si="114"/>
        <v>316398</v>
      </c>
      <c r="Q118" s="108">
        <f t="shared" si="114"/>
        <v>661598</v>
      </c>
      <c r="R118" s="108">
        <f t="shared" si="114"/>
        <v>1041963</v>
      </c>
      <c r="S118" s="108">
        <f t="shared" si="114"/>
        <v>1441513.98863</v>
      </c>
      <c r="T118" s="108">
        <f t="shared" ref="T118:U118" si="115">T13+T48+T83</f>
        <v>371419</v>
      </c>
      <c r="U118" s="108">
        <f t="shared" si="115"/>
        <v>803835</v>
      </c>
    </row>
    <row r="119" spans="2:21">
      <c r="B119" s="102" t="s">
        <v>206</v>
      </c>
      <c r="C119" s="102" t="s">
        <v>367</v>
      </c>
      <c r="D119" s="108">
        <f t="shared" ref="D119:S119" si="116">D14+D49+D84</f>
        <v>-87495</v>
      </c>
      <c r="E119" s="108">
        <f t="shared" si="116"/>
        <v>-181923</v>
      </c>
      <c r="F119" s="108">
        <f t="shared" si="116"/>
        <v>-286828</v>
      </c>
      <c r="G119" s="108">
        <f t="shared" si="116"/>
        <v>-389469</v>
      </c>
      <c r="H119" s="108">
        <f t="shared" si="116"/>
        <v>-97084</v>
      </c>
      <c r="I119" s="108">
        <f t="shared" si="116"/>
        <v>-224535</v>
      </c>
      <c r="J119" s="108">
        <f t="shared" si="116"/>
        <v>-356500</v>
      </c>
      <c r="K119" s="108">
        <f t="shared" si="116"/>
        <v>-498994</v>
      </c>
      <c r="L119" s="108">
        <f t="shared" si="116"/>
        <v>-134176</v>
      </c>
      <c r="M119" s="108">
        <f t="shared" si="116"/>
        <v>-273842</v>
      </c>
      <c r="N119" s="108">
        <f t="shared" si="116"/>
        <v>-434168</v>
      </c>
      <c r="O119" s="108">
        <f t="shared" si="116"/>
        <v>-579903</v>
      </c>
      <c r="P119" s="108">
        <f t="shared" si="116"/>
        <v>-138688</v>
      </c>
      <c r="Q119" s="108">
        <f t="shared" si="116"/>
        <v>-300510</v>
      </c>
      <c r="R119" s="108">
        <f t="shared" si="116"/>
        <v>-491287</v>
      </c>
      <c r="S119" s="108">
        <f t="shared" si="116"/>
        <v>-674766</v>
      </c>
      <c r="T119" s="108">
        <f t="shared" ref="T119:U119" si="117">T14+T49+T84</f>
        <v>-180742</v>
      </c>
      <c r="U119" s="108">
        <f t="shared" si="117"/>
        <v>-392558</v>
      </c>
    </row>
    <row r="120" spans="2:21">
      <c r="B120" s="106" t="s">
        <v>207</v>
      </c>
      <c r="C120" s="106" t="s">
        <v>13</v>
      </c>
      <c r="D120" s="107">
        <f t="shared" ref="D120:N120" si="118">D118+D119</f>
        <v>176874</v>
      </c>
      <c r="E120" s="107">
        <f t="shared" si="118"/>
        <v>347469</v>
      </c>
      <c r="F120" s="107">
        <f t="shared" si="118"/>
        <v>526031</v>
      </c>
      <c r="G120" s="107">
        <f t="shared" si="118"/>
        <v>709999</v>
      </c>
      <c r="H120" s="107">
        <f t="shared" si="118"/>
        <v>169864</v>
      </c>
      <c r="I120" s="107">
        <f t="shared" si="118"/>
        <v>324887</v>
      </c>
      <c r="J120" s="107">
        <f t="shared" si="118"/>
        <v>495131</v>
      </c>
      <c r="K120" s="107">
        <f t="shared" si="118"/>
        <v>658058</v>
      </c>
      <c r="L120" s="107">
        <f t="shared" si="118"/>
        <v>135171</v>
      </c>
      <c r="M120" s="107">
        <f t="shared" si="118"/>
        <v>289755</v>
      </c>
      <c r="N120" s="107">
        <f t="shared" si="118"/>
        <v>458857</v>
      </c>
      <c r="O120" s="107">
        <f t="shared" ref="O120:T120" si="119">O118+O119</f>
        <v>635846</v>
      </c>
      <c r="P120" s="107">
        <f t="shared" si="119"/>
        <v>177710</v>
      </c>
      <c r="Q120" s="107">
        <f t="shared" si="119"/>
        <v>361088</v>
      </c>
      <c r="R120" s="107">
        <f t="shared" si="119"/>
        <v>550676</v>
      </c>
      <c r="S120" s="107">
        <f t="shared" si="119"/>
        <v>766747.98863000004</v>
      </c>
      <c r="T120" s="107">
        <f t="shared" si="119"/>
        <v>190677</v>
      </c>
      <c r="U120" s="107">
        <f t="shared" ref="U120" si="120">U118+U119</f>
        <v>411277</v>
      </c>
    </row>
    <row r="121" spans="2:21">
      <c r="B121" s="102" t="s">
        <v>208</v>
      </c>
      <c r="C121" s="102" t="s">
        <v>3</v>
      </c>
      <c r="D121" s="108">
        <f t="shared" ref="D121:S121" si="121">D16+D51+D86</f>
        <v>0</v>
      </c>
      <c r="E121" s="108">
        <f t="shared" si="121"/>
        <v>94</v>
      </c>
      <c r="F121" s="108">
        <f t="shared" si="121"/>
        <v>143</v>
      </c>
      <c r="G121" s="108">
        <f t="shared" si="121"/>
        <v>275</v>
      </c>
      <c r="H121" s="108">
        <f t="shared" si="121"/>
        <v>0</v>
      </c>
      <c r="I121" s="108">
        <f t="shared" si="121"/>
        <v>173</v>
      </c>
      <c r="J121" s="108">
        <f t="shared" si="121"/>
        <v>257</v>
      </c>
      <c r="K121" s="108">
        <f t="shared" si="121"/>
        <v>344</v>
      </c>
      <c r="L121" s="108">
        <f t="shared" si="121"/>
        <v>114</v>
      </c>
      <c r="M121" s="108">
        <f t="shared" si="121"/>
        <v>221</v>
      </c>
      <c r="N121" s="108">
        <f t="shared" si="121"/>
        <v>594</v>
      </c>
      <c r="O121" s="108">
        <f t="shared" si="121"/>
        <v>700</v>
      </c>
      <c r="P121" s="108">
        <f t="shared" si="121"/>
        <v>106</v>
      </c>
      <c r="Q121" s="108">
        <f t="shared" si="121"/>
        <v>277</v>
      </c>
      <c r="R121" s="108">
        <f t="shared" si="121"/>
        <v>397</v>
      </c>
      <c r="S121" s="108">
        <f t="shared" si="121"/>
        <v>532</v>
      </c>
      <c r="T121" s="108">
        <f t="shared" ref="T121:U121" si="122">T16+T51+T86</f>
        <v>139</v>
      </c>
      <c r="U121" s="108">
        <f t="shared" si="122"/>
        <v>291</v>
      </c>
    </row>
    <row r="122" spans="2:21">
      <c r="B122" s="102" t="s">
        <v>209</v>
      </c>
      <c r="C122" s="102" t="s">
        <v>18</v>
      </c>
      <c r="D122" s="108">
        <f t="shared" ref="D122:S122" si="123">D17+D52+D87</f>
        <v>9990</v>
      </c>
      <c r="E122" s="108">
        <f t="shared" si="123"/>
        <v>53018</v>
      </c>
      <c r="F122" s="108">
        <f t="shared" si="123"/>
        <v>81730</v>
      </c>
      <c r="G122" s="108">
        <f t="shared" si="123"/>
        <v>97684</v>
      </c>
      <c r="H122" s="108">
        <f t="shared" si="123"/>
        <v>22686</v>
      </c>
      <c r="I122" s="108">
        <f t="shared" si="123"/>
        <v>33266</v>
      </c>
      <c r="J122" s="108">
        <f t="shared" si="123"/>
        <v>48129</v>
      </c>
      <c r="K122" s="108">
        <f t="shared" si="123"/>
        <v>102010</v>
      </c>
      <c r="L122" s="108">
        <f t="shared" si="123"/>
        <v>1339</v>
      </c>
      <c r="M122" s="108">
        <f t="shared" si="123"/>
        <v>16343</v>
      </c>
      <c r="N122" s="108">
        <f t="shared" si="123"/>
        <v>36086</v>
      </c>
      <c r="O122" s="108">
        <f t="shared" si="123"/>
        <v>79070</v>
      </c>
      <c r="P122" s="108">
        <f t="shared" si="123"/>
        <v>18731</v>
      </c>
      <c r="Q122" s="108">
        <f t="shared" si="123"/>
        <v>53169</v>
      </c>
      <c r="R122" s="108">
        <f t="shared" si="123"/>
        <v>81230</v>
      </c>
      <c r="S122" s="108">
        <f t="shared" si="123"/>
        <v>87149</v>
      </c>
      <c r="T122" s="108">
        <f t="shared" ref="T122:U122" si="124">T17+T52+T87</f>
        <v>37795</v>
      </c>
      <c r="U122" s="108">
        <f t="shared" si="124"/>
        <v>33894</v>
      </c>
    </row>
    <row r="123" spans="2:21">
      <c r="B123" s="106" t="s">
        <v>210</v>
      </c>
      <c r="C123" s="106" t="s">
        <v>368</v>
      </c>
      <c r="D123" s="107">
        <f t="shared" ref="D123:N123" si="125">D124+D125</f>
        <v>11545</v>
      </c>
      <c r="E123" s="107">
        <f t="shared" si="125"/>
        <v>32794</v>
      </c>
      <c r="F123" s="107">
        <f t="shared" si="125"/>
        <v>40452</v>
      </c>
      <c r="G123" s="107">
        <f t="shared" si="125"/>
        <v>77829</v>
      </c>
      <c r="H123" s="107">
        <f t="shared" si="125"/>
        <v>17295</v>
      </c>
      <c r="I123" s="107">
        <f t="shared" si="125"/>
        <v>21758</v>
      </c>
      <c r="J123" s="107">
        <f t="shared" si="125"/>
        <v>29131</v>
      </c>
      <c r="K123" s="107">
        <f t="shared" si="125"/>
        <v>46236</v>
      </c>
      <c r="L123" s="107">
        <f t="shared" si="125"/>
        <v>29261</v>
      </c>
      <c r="M123" s="107">
        <f t="shared" si="125"/>
        <v>26618</v>
      </c>
      <c r="N123" s="107">
        <f t="shared" si="125"/>
        <v>36090</v>
      </c>
      <c r="O123" s="107">
        <f t="shared" ref="O123:T123" si="126">O124+O125</f>
        <v>84553</v>
      </c>
      <c r="P123" s="107">
        <f t="shared" si="126"/>
        <v>174</v>
      </c>
      <c r="Q123" s="107">
        <f t="shared" si="126"/>
        <v>2294</v>
      </c>
      <c r="R123" s="107">
        <f t="shared" si="126"/>
        <v>5793</v>
      </c>
      <c r="S123" s="107">
        <f t="shared" si="126"/>
        <v>5293</v>
      </c>
      <c r="T123" s="107">
        <f t="shared" si="126"/>
        <v>290</v>
      </c>
      <c r="U123" s="107">
        <f t="shared" ref="U123" si="127">U124+U125</f>
        <v>1484</v>
      </c>
    </row>
    <row r="124" spans="2:21">
      <c r="B124" s="102" t="s">
        <v>211</v>
      </c>
      <c r="C124" s="102" t="s">
        <v>369</v>
      </c>
      <c r="D124" s="108">
        <f t="shared" ref="D124:S124" si="128">D19+D54+D89</f>
        <v>11185</v>
      </c>
      <c r="E124" s="108">
        <f t="shared" si="128"/>
        <v>32112</v>
      </c>
      <c r="F124" s="108">
        <f t="shared" si="128"/>
        <v>39432</v>
      </c>
      <c r="G124" s="108">
        <f t="shared" si="128"/>
        <v>76473</v>
      </c>
      <c r="H124" s="108">
        <f t="shared" si="128"/>
        <v>10423</v>
      </c>
      <c r="I124" s="108">
        <f t="shared" si="128"/>
        <v>14700</v>
      </c>
      <c r="J124" s="108">
        <f t="shared" si="128"/>
        <v>21700</v>
      </c>
      <c r="K124" s="108">
        <f t="shared" si="128"/>
        <v>38807</v>
      </c>
      <c r="L124" s="108">
        <f t="shared" si="128"/>
        <v>5547</v>
      </c>
      <c r="M124" s="108">
        <f t="shared" si="128"/>
        <v>2807</v>
      </c>
      <c r="N124" s="108">
        <f t="shared" si="128"/>
        <v>12216</v>
      </c>
      <c r="O124" s="108">
        <f t="shared" si="128"/>
        <v>60607</v>
      </c>
      <c r="P124" s="108">
        <f t="shared" si="128"/>
        <v>61</v>
      </c>
      <c r="Q124" s="108">
        <f t="shared" si="128"/>
        <v>318</v>
      </c>
      <c r="R124" s="108">
        <f t="shared" si="128"/>
        <v>3789</v>
      </c>
      <c r="S124" s="108">
        <f t="shared" si="128"/>
        <v>3246</v>
      </c>
      <c r="T124" s="108">
        <f t="shared" ref="T124:U124" si="129">T19+T54+T89</f>
        <v>218</v>
      </c>
      <c r="U124" s="108">
        <f t="shared" si="129"/>
        <v>1212</v>
      </c>
    </row>
    <row r="125" spans="2:21">
      <c r="B125" s="102" t="s">
        <v>212</v>
      </c>
      <c r="C125" s="102" t="s">
        <v>15</v>
      </c>
      <c r="D125" s="108">
        <f t="shared" ref="D125:S125" si="130">D20+D55+D90</f>
        <v>360</v>
      </c>
      <c r="E125" s="108">
        <f t="shared" si="130"/>
        <v>682</v>
      </c>
      <c r="F125" s="108">
        <f t="shared" si="130"/>
        <v>1020</v>
      </c>
      <c r="G125" s="108">
        <f t="shared" si="130"/>
        <v>1356</v>
      </c>
      <c r="H125" s="108">
        <f t="shared" si="130"/>
        <v>6872</v>
      </c>
      <c r="I125" s="108">
        <f t="shared" si="130"/>
        <v>7058</v>
      </c>
      <c r="J125" s="108">
        <f t="shared" si="130"/>
        <v>7431</v>
      </c>
      <c r="K125" s="108">
        <f t="shared" si="130"/>
        <v>7429</v>
      </c>
      <c r="L125" s="108">
        <f t="shared" si="130"/>
        <v>23714</v>
      </c>
      <c r="M125" s="108">
        <f t="shared" si="130"/>
        <v>23811</v>
      </c>
      <c r="N125" s="108">
        <f t="shared" si="130"/>
        <v>23874</v>
      </c>
      <c r="O125" s="108">
        <f t="shared" si="130"/>
        <v>23946</v>
      </c>
      <c r="P125" s="108">
        <f t="shared" si="130"/>
        <v>113</v>
      </c>
      <c r="Q125" s="108">
        <f t="shared" si="130"/>
        <v>1976</v>
      </c>
      <c r="R125" s="108">
        <f t="shared" si="130"/>
        <v>2004</v>
      </c>
      <c r="S125" s="108">
        <f t="shared" si="130"/>
        <v>2047</v>
      </c>
      <c r="T125" s="108">
        <f t="shared" ref="T125:U125" si="131">T20+T55+T90</f>
        <v>72</v>
      </c>
      <c r="U125" s="108">
        <f t="shared" si="131"/>
        <v>272</v>
      </c>
    </row>
    <row r="126" spans="2:21">
      <c r="B126" s="102" t="s">
        <v>213</v>
      </c>
      <c r="C126" s="102" t="s">
        <v>7</v>
      </c>
      <c r="D126" s="108">
        <f t="shared" ref="D126:S126" si="132">D21+D56+D91</f>
        <v>48955</v>
      </c>
      <c r="E126" s="108">
        <f t="shared" si="132"/>
        <v>74673</v>
      </c>
      <c r="F126" s="108">
        <f t="shared" si="132"/>
        <v>94560</v>
      </c>
      <c r="G126" s="108">
        <f t="shared" si="132"/>
        <v>127045</v>
      </c>
      <c r="H126" s="108">
        <f t="shared" si="132"/>
        <v>33437</v>
      </c>
      <c r="I126" s="108">
        <f t="shared" si="132"/>
        <v>64220</v>
      </c>
      <c r="J126" s="108">
        <f t="shared" si="132"/>
        <v>100627</v>
      </c>
      <c r="K126" s="108">
        <f t="shared" si="132"/>
        <v>143466</v>
      </c>
      <c r="L126" s="108">
        <f t="shared" si="132"/>
        <v>41615</v>
      </c>
      <c r="M126" s="108">
        <f t="shared" si="132"/>
        <v>68216</v>
      </c>
      <c r="N126" s="108">
        <f t="shared" si="132"/>
        <v>99654</v>
      </c>
      <c r="O126" s="108">
        <f t="shared" si="132"/>
        <v>137039</v>
      </c>
      <c r="P126" s="108">
        <f t="shared" si="132"/>
        <v>47087</v>
      </c>
      <c r="Q126" s="108">
        <f t="shared" si="132"/>
        <v>77253</v>
      </c>
      <c r="R126" s="108">
        <f t="shared" si="132"/>
        <v>112145</v>
      </c>
      <c r="S126" s="108">
        <f t="shared" si="132"/>
        <v>147487</v>
      </c>
      <c r="T126" s="108">
        <f t="shared" ref="T126:U126" si="133">T21+T56+T91</f>
        <v>31536</v>
      </c>
      <c r="U126" s="108">
        <f t="shared" si="133"/>
        <v>61992</v>
      </c>
    </row>
    <row r="127" spans="2:21">
      <c r="B127" s="102" t="s">
        <v>370</v>
      </c>
      <c r="C127" s="102" t="s">
        <v>8</v>
      </c>
      <c r="D127" s="108">
        <f t="shared" ref="D127:S127" si="134">D22+D57+D92</f>
        <v>-20297</v>
      </c>
      <c r="E127" s="108">
        <f t="shared" si="134"/>
        <v>-46181</v>
      </c>
      <c r="F127" s="108">
        <f t="shared" si="134"/>
        <v>-82018</v>
      </c>
      <c r="G127" s="108">
        <f t="shared" si="134"/>
        <v>-141807</v>
      </c>
      <c r="H127" s="108">
        <f t="shared" si="134"/>
        <v>-20944</v>
      </c>
      <c r="I127" s="108">
        <f t="shared" si="134"/>
        <v>-48001</v>
      </c>
      <c r="J127" s="108">
        <f t="shared" si="134"/>
        <v>-124932</v>
      </c>
      <c r="K127" s="108">
        <f t="shared" si="134"/>
        <v>-345605</v>
      </c>
      <c r="L127" s="108">
        <f t="shared" si="134"/>
        <v>-34194</v>
      </c>
      <c r="M127" s="108">
        <f t="shared" si="134"/>
        <v>-158648</v>
      </c>
      <c r="N127" s="108">
        <f t="shared" si="134"/>
        <v>-179221</v>
      </c>
      <c r="O127" s="108">
        <f t="shared" si="134"/>
        <v>-240446</v>
      </c>
      <c r="P127" s="108">
        <f t="shared" si="134"/>
        <v>-22624</v>
      </c>
      <c r="Q127" s="108">
        <f t="shared" si="134"/>
        <v>-46867</v>
      </c>
      <c r="R127" s="108">
        <f t="shared" si="134"/>
        <v>-88290</v>
      </c>
      <c r="S127" s="108">
        <f t="shared" si="134"/>
        <v>-168322</v>
      </c>
      <c r="T127" s="108">
        <f t="shared" ref="T127:U127" si="135">T22+T57+T92</f>
        <v>-29621</v>
      </c>
      <c r="U127" s="108">
        <f t="shared" si="135"/>
        <v>-50091</v>
      </c>
    </row>
    <row r="128" spans="2:21">
      <c r="B128" s="106" t="s">
        <v>371</v>
      </c>
      <c r="C128" s="106" t="s">
        <v>9</v>
      </c>
      <c r="D128" s="107">
        <f t="shared" ref="D128:N128" si="136">D126+D127</f>
        <v>28658</v>
      </c>
      <c r="E128" s="107">
        <f t="shared" si="136"/>
        <v>28492</v>
      </c>
      <c r="F128" s="107">
        <f t="shared" si="136"/>
        <v>12542</v>
      </c>
      <c r="G128" s="107">
        <f t="shared" si="136"/>
        <v>-14762</v>
      </c>
      <c r="H128" s="107">
        <f t="shared" si="136"/>
        <v>12493</v>
      </c>
      <c r="I128" s="107">
        <f t="shared" si="136"/>
        <v>16219</v>
      </c>
      <c r="J128" s="107">
        <f t="shared" si="136"/>
        <v>-24305</v>
      </c>
      <c r="K128" s="107">
        <f t="shared" si="136"/>
        <v>-202139</v>
      </c>
      <c r="L128" s="107">
        <f t="shared" si="136"/>
        <v>7421</v>
      </c>
      <c r="M128" s="107">
        <f t="shared" si="136"/>
        <v>-90432</v>
      </c>
      <c r="N128" s="107">
        <f t="shared" si="136"/>
        <v>-79567</v>
      </c>
      <c r="O128" s="107">
        <f t="shared" ref="O128:T128" si="137">O126+O127</f>
        <v>-103407</v>
      </c>
      <c r="P128" s="107">
        <f t="shared" si="137"/>
        <v>24463</v>
      </c>
      <c r="Q128" s="107">
        <f t="shared" si="137"/>
        <v>30386</v>
      </c>
      <c r="R128" s="107">
        <f t="shared" si="137"/>
        <v>23855</v>
      </c>
      <c r="S128" s="107">
        <f t="shared" si="137"/>
        <v>-20835</v>
      </c>
      <c r="T128" s="107">
        <f t="shared" si="137"/>
        <v>1915</v>
      </c>
      <c r="U128" s="107">
        <f t="shared" ref="U128" si="138">U126+U127</f>
        <v>11901</v>
      </c>
    </row>
    <row r="129" spans="2:21">
      <c r="B129" s="128" t="s">
        <v>528</v>
      </c>
      <c r="C129" s="106" t="s">
        <v>524</v>
      </c>
      <c r="D129" s="107">
        <f>D117+D120+D123+D128+D122</f>
        <v>964719</v>
      </c>
      <c r="E129" s="107">
        <f t="shared" ref="E129:O129" si="139">E117+E120+E123+E128+E122+E121</f>
        <v>1962807</v>
      </c>
      <c r="F129" s="107">
        <f t="shared" si="139"/>
        <v>2944534</v>
      </c>
      <c r="G129" s="107">
        <f t="shared" si="139"/>
        <v>3955549</v>
      </c>
      <c r="H129" s="107">
        <f t="shared" si="139"/>
        <v>1026145</v>
      </c>
      <c r="I129" s="107">
        <f t="shared" si="139"/>
        <v>2029964</v>
      </c>
      <c r="J129" s="107">
        <f t="shared" si="139"/>
        <v>2985015</v>
      </c>
      <c r="K129" s="107">
        <f t="shared" si="139"/>
        <v>3788853</v>
      </c>
      <c r="L129" s="107">
        <f t="shared" si="139"/>
        <v>950190</v>
      </c>
      <c r="M129" s="107">
        <f t="shared" si="139"/>
        <v>1741370</v>
      </c>
      <c r="N129" s="107">
        <f t="shared" si="139"/>
        <v>2634040</v>
      </c>
      <c r="O129" s="107">
        <f t="shared" si="139"/>
        <v>3545488</v>
      </c>
      <c r="P129" s="107">
        <f t="shared" ref="P129:U129" si="140">P117+P120+P123+P128+P122+P121</f>
        <v>891362</v>
      </c>
      <c r="Q129" s="107">
        <f t="shared" si="140"/>
        <v>1784051</v>
      </c>
      <c r="R129" s="107">
        <f t="shared" si="140"/>
        <v>2702308</v>
      </c>
      <c r="S129" s="107">
        <f t="shared" si="140"/>
        <v>3637120.98863</v>
      </c>
      <c r="T129" s="107">
        <f t="shared" si="140"/>
        <v>1093167</v>
      </c>
      <c r="U129" s="107">
        <f t="shared" si="140"/>
        <v>2292959</v>
      </c>
    </row>
    <row r="130" spans="2:21">
      <c r="B130" s="102" t="s">
        <v>346</v>
      </c>
      <c r="C130" s="102" t="s">
        <v>372</v>
      </c>
      <c r="D130" s="108">
        <f t="shared" ref="D130:S130" si="141">D25+D60+D95</f>
        <v>-242992</v>
      </c>
      <c r="E130" s="108">
        <f t="shared" si="141"/>
        <v>-480589</v>
      </c>
      <c r="F130" s="108">
        <f t="shared" si="141"/>
        <v>-752747</v>
      </c>
      <c r="G130" s="108">
        <f t="shared" si="141"/>
        <v>-1047818</v>
      </c>
      <c r="H130" s="108">
        <f t="shared" si="141"/>
        <v>-272962</v>
      </c>
      <c r="I130" s="108">
        <f t="shared" si="141"/>
        <v>-775502</v>
      </c>
      <c r="J130" s="108">
        <f t="shared" si="141"/>
        <v>-1100283</v>
      </c>
      <c r="K130" s="108">
        <f t="shared" si="141"/>
        <v>-1437158</v>
      </c>
      <c r="L130" s="108">
        <f t="shared" si="141"/>
        <v>-296153</v>
      </c>
      <c r="M130" s="108">
        <f t="shared" si="141"/>
        <v>-1211299</v>
      </c>
      <c r="N130" s="108">
        <f t="shared" si="141"/>
        <v>-1500642</v>
      </c>
      <c r="O130" s="108">
        <f t="shared" si="141"/>
        <v>-1733471</v>
      </c>
      <c r="P130" s="108">
        <f t="shared" si="141"/>
        <v>-243485</v>
      </c>
      <c r="Q130" s="108">
        <f t="shared" si="141"/>
        <v>-508465</v>
      </c>
      <c r="R130" s="108">
        <f t="shared" si="141"/>
        <v>-760194</v>
      </c>
      <c r="S130" s="108">
        <f t="shared" si="141"/>
        <v>-1006663</v>
      </c>
      <c r="T130" s="108">
        <f t="shared" ref="T130:U130" si="142">T25+T60+T95</f>
        <v>-208556</v>
      </c>
      <c r="U130" s="108">
        <f t="shared" si="142"/>
        <v>-438493</v>
      </c>
    </row>
    <row r="131" spans="2:21">
      <c r="B131" s="102" t="s">
        <v>373</v>
      </c>
      <c r="C131" s="102" t="s">
        <v>347</v>
      </c>
      <c r="D131" s="108">
        <f t="shared" ref="D131:R131" si="143">D26+D61+D96</f>
        <v>0</v>
      </c>
      <c r="E131" s="108">
        <f t="shared" si="143"/>
        <v>0</v>
      </c>
      <c r="F131" s="108">
        <f t="shared" si="143"/>
        <v>0</v>
      </c>
      <c r="G131" s="108">
        <f t="shared" si="143"/>
        <v>0</v>
      </c>
      <c r="H131" s="108">
        <f t="shared" si="143"/>
        <v>0</v>
      </c>
      <c r="I131" s="108">
        <f t="shared" si="143"/>
        <v>0</v>
      </c>
      <c r="J131" s="108">
        <f t="shared" si="143"/>
        <v>0</v>
      </c>
      <c r="K131" s="108">
        <f t="shared" si="143"/>
        <v>0</v>
      </c>
      <c r="L131" s="108">
        <f t="shared" si="143"/>
        <v>0</v>
      </c>
      <c r="M131" s="108">
        <f t="shared" si="143"/>
        <v>-64400</v>
      </c>
      <c r="N131" s="108">
        <f t="shared" si="143"/>
        <v>-64400</v>
      </c>
      <c r="O131" s="108">
        <f t="shared" si="143"/>
        <v>-104368</v>
      </c>
      <c r="P131" s="108">
        <f t="shared" si="143"/>
        <v>0</v>
      </c>
      <c r="Q131" s="108">
        <f t="shared" si="143"/>
        <v>0</v>
      </c>
      <c r="R131" s="108">
        <f t="shared" si="143"/>
        <v>0</v>
      </c>
      <c r="S131" s="108">
        <f>S26+S61+S96</f>
        <v>-4947</v>
      </c>
      <c r="T131" s="108">
        <f t="shared" ref="T131:U131" si="144">T26+T61+T96</f>
        <v>-30901</v>
      </c>
      <c r="U131" s="108">
        <f t="shared" si="144"/>
        <v>-30901</v>
      </c>
    </row>
    <row r="132" spans="2:21">
      <c r="B132" s="102" t="s">
        <v>474</v>
      </c>
      <c r="C132" s="102" t="s">
        <v>473</v>
      </c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>
        <f>O27</f>
        <v>-311</v>
      </c>
      <c r="P132" s="108"/>
      <c r="Q132" s="108"/>
      <c r="R132" s="108"/>
      <c r="S132" s="108">
        <f>S27</f>
        <v>-21386</v>
      </c>
      <c r="T132" s="108">
        <f>T27</f>
        <v>-23197</v>
      </c>
      <c r="U132" s="108">
        <v>-24438</v>
      </c>
    </row>
    <row r="133" spans="2:21">
      <c r="B133" s="106" t="s">
        <v>529</v>
      </c>
      <c r="C133" s="106" t="s">
        <v>525</v>
      </c>
      <c r="D133" s="107">
        <f t="shared" ref="D133:N133" si="145">D129+D130+D131</f>
        <v>721727</v>
      </c>
      <c r="E133" s="107">
        <f t="shared" si="145"/>
        <v>1482218</v>
      </c>
      <c r="F133" s="107">
        <f t="shared" si="145"/>
        <v>2191787</v>
      </c>
      <c r="G133" s="107">
        <f t="shared" si="145"/>
        <v>2907731</v>
      </c>
      <c r="H133" s="107">
        <f t="shared" si="145"/>
        <v>753183</v>
      </c>
      <c r="I133" s="107">
        <f t="shared" si="145"/>
        <v>1254462</v>
      </c>
      <c r="J133" s="107">
        <f t="shared" si="145"/>
        <v>1884732</v>
      </c>
      <c r="K133" s="107">
        <f t="shared" si="145"/>
        <v>2351695</v>
      </c>
      <c r="L133" s="107">
        <f t="shared" si="145"/>
        <v>654037</v>
      </c>
      <c r="M133" s="107">
        <f t="shared" si="145"/>
        <v>465671</v>
      </c>
      <c r="N133" s="107">
        <f t="shared" si="145"/>
        <v>1068998</v>
      </c>
      <c r="O133" s="107">
        <f t="shared" ref="O133:R133" si="146">O129+O130+O131+O132</f>
        <v>1707338</v>
      </c>
      <c r="P133" s="107">
        <f t="shared" si="146"/>
        <v>647877</v>
      </c>
      <c r="Q133" s="107">
        <f t="shared" si="146"/>
        <v>1275586</v>
      </c>
      <c r="R133" s="107">
        <f t="shared" si="146"/>
        <v>1942114</v>
      </c>
      <c r="S133" s="107">
        <f>S129+S130+S131+S132</f>
        <v>2604124.98863</v>
      </c>
      <c r="T133" s="107">
        <f t="shared" ref="T133:U133" si="147">T129+T130+T131+T132</f>
        <v>830513</v>
      </c>
      <c r="U133" s="107">
        <f t="shared" si="147"/>
        <v>1799127</v>
      </c>
    </row>
    <row r="134" spans="2:21">
      <c r="B134" s="102" t="s">
        <v>216</v>
      </c>
      <c r="C134" s="102" t="s">
        <v>325</v>
      </c>
      <c r="D134" s="108">
        <f t="shared" ref="D134:R134" si="148">D29+D64+D99</f>
        <v>-505983</v>
      </c>
      <c r="E134" s="108">
        <f t="shared" si="148"/>
        <v>-989154</v>
      </c>
      <c r="F134" s="108">
        <f t="shared" si="148"/>
        <v>-1452733</v>
      </c>
      <c r="G134" s="108">
        <f t="shared" si="148"/>
        <v>-1913189</v>
      </c>
      <c r="H134" s="108">
        <f t="shared" si="148"/>
        <v>-566629</v>
      </c>
      <c r="I134" s="108">
        <f t="shared" si="148"/>
        <v>-1016156</v>
      </c>
      <c r="J134" s="108">
        <f t="shared" si="148"/>
        <v>-1447148</v>
      </c>
      <c r="K134" s="108">
        <f t="shared" si="148"/>
        <v>-1856078</v>
      </c>
      <c r="L134" s="108">
        <f t="shared" si="148"/>
        <v>-535709</v>
      </c>
      <c r="M134" s="108">
        <f t="shared" si="148"/>
        <v>-986460</v>
      </c>
      <c r="N134" s="108">
        <f t="shared" si="148"/>
        <v>-1449589</v>
      </c>
      <c r="O134" s="108">
        <f t="shared" si="148"/>
        <v>-1885334</v>
      </c>
      <c r="P134" s="108">
        <f t="shared" si="148"/>
        <v>-476556</v>
      </c>
      <c r="Q134" s="108">
        <f t="shared" si="148"/>
        <v>-913540</v>
      </c>
      <c r="R134" s="108">
        <f t="shared" si="148"/>
        <v>-1365443</v>
      </c>
      <c r="S134" s="108">
        <f>S29+S64+S99</f>
        <v>-1819379</v>
      </c>
      <c r="T134" s="108">
        <f t="shared" ref="T134:U134" si="149">T29+T64+T99</f>
        <v>-557129</v>
      </c>
      <c r="U134" s="108">
        <f t="shared" si="149"/>
        <v>-1214540</v>
      </c>
    </row>
    <row r="135" spans="2:21">
      <c r="B135" s="106" t="s">
        <v>218</v>
      </c>
      <c r="C135" s="106" t="s">
        <v>526</v>
      </c>
      <c r="D135" s="107">
        <f t="shared" ref="D135:N135" si="150">D133+D134</f>
        <v>215744</v>
      </c>
      <c r="E135" s="107">
        <f t="shared" si="150"/>
        <v>493064</v>
      </c>
      <c r="F135" s="107">
        <f t="shared" si="150"/>
        <v>739054</v>
      </c>
      <c r="G135" s="107">
        <f t="shared" si="150"/>
        <v>994542</v>
      </c>
      <c r="H135" s="107">
        <f t="shared" si="150"/>
        <v>186554</v>
      </c>
      <c r="I135" s="107">
        <f t="shared" si="150"/>
        <v>238306</v>
      </c>
      <c r="J135" s="107">
        <f t="shared" si="150"/>
        <v>437584</v>
      </c>
      <c r="K135" s="107">
        <f t="shared" si="150"/>
        <v>495617</v>
      </c>
      <c r="L135" s="107">
        <f t="shared" si="150"/>
        <v>118328</v>
      </c>
      <c r="M135" s="107">
        <f t="shared" si="150"/>
        <v>-520789</v>
      </c>
      <c r="N135" s="107">
        <f t="shared" si="150"/>
        <v>-380591</v>
      </c>
      <c r="O135" s="107">
        <f t="shared" ref="O135:T135" si="151">O133+O134</f>
        <v>-177996</v>
      </c>
      <c r="P135" s="107">
        <f t="shared" si="151"/>
        <v>171321</v>
      </c>
      <c r="Q135" s="107">
        <f t="shared" si="151"/>
        <v>362046</v>
      </c>
      <c r="R135" s="107">
        <f t="shared" si="151"/>
        <v>576671</v>
      </c>
      <c r="S135" s="107">
        <f t="shared" si="151"/>
        <v>784745.98863000004</v>
      </c>
      <c r="T135" s="107">
        <f t="shared" si="151"/>
        <v>273384</v>
      </c>
      <c r="U135" s="107">
        <f t="shared" ref="U135" si="152">U133+U134</f>
        <v>584587</v>
      </c>
    </row>
    <row r="136" spans="2:21">
      <c r="B136" s="102" t="s">
        <v>219</v>
      </c>
      <c r="C136" s="102" t="s">
        <v>10</v>
      </c>
      <c r="D136" s="108">
        <f t="shared" ref="D136:R136" si="153">D31+D66+D101</f>
        <v>0</v>
      </c>
      <c r="E136" s="108">
        <f t="shared" si="153"/>
        <v>0</v>
      </c>
      <c r="F136" s="108">
        <f t="shared" si="153"/>
        <v>0</v>
      </c>
      <c r="G136" s="108">
        <f t="shared" si="153"/>
        <v>0</v>
      </c>
      <c r="H136" s="108">
        <f t="shared" si="153"/>
        <v>0</v>
      </c>
      <c r="I136" s="108">
        <f t="shared" si="153"/>
        <v>0</v>
      </c>
      <c r="J136" s="108">
        <f t="shared" si="153"/>
        <v>0</v>
      </c>
      <c r="K136" s="108">
        <f t="shared" si="153"/>
        <v>0</v>
      </c>
      <c r="L136" s="108">
        <f t="shared" si="153"/>
        <v>0</v>
      </c>
      <c r="M136" s="108">
        <f t="shared" si="153"/>
        <v>0</v>
      </c>
      <c r="N136" s="108">
        <f t="shared" si="153"/>
        <v>0</v>
      </c>
      <c r="O136" s="108">
        <f t="shared" si="153"/>
        <v>0</v>
      </c>
      <c r="P136" s="108">
        <f t="shared" si="153"/>
        <v>0</v>
      </c>
      <c r="Q136" s="108">
        <f t="shared" si="153"/>
        <v>0</v>
      </c>
      <c r="R136" s="108">
        <f t="shared" si="153"/>
        <v>0</v>
      </c>
      <c r="S136" s="108">
        <f>S31+S66+S101</f>
        <v>0</v>
      </c>
      <c r="T136" s="108">
        <f t="shared" ref="T136:U136" si="154">T31+T66+T101</f>
        <v>0</v>
      </c>
      <c r="U136" s="108">
        <f t="shared" si="154"/>
        <v>0</v>
      </c>
    </row>
    <row r="137" spans="2:21">
      <c r="B137" s="106" t="s">
        <v>530</v>
      </c>
      <c r="C137" s="106" t="s">
        <v>527</v>
      </c>
      <c r="D137" s="107">
        <f t="shared" ref="D137:N137" si="155">D135+D136</f>
        <v>215744</v>
      </c>
      <c r="E137" s="107">
        <f t="shared" si="155"/>
        <v>493064</v>
      </c>
      <c r="F137" s="107">
        <f t="shared" si="155"/>
        <v>739054</v>
      </c>
      <c r="G137" s="107">
        <f t="shared" si="155"/>
        <v>994542</v>
      </c>
      <c r="H137" s="107">
        <f t="shared" si="155"/>
        <v>186554</v>
      </c>
      <c r="I137" s="107">
        <f t="shared" si="155"/>
        <v>238306</v>
      </c>
      <c r="J137" s="107">
        <f t="shared" si="155"/>
        <v>437584</v>
      </c>
      <c r="K137" s="107">
        <f t="shared" si="155"/>
        <v>495617</v>
      </c>
      <c r="L137" s="107">
        <f t="shared" si="155"/>
        <v>118328</v>
      </c>
      <c r="M137" s="107">
        <f t="shared" si="155"/>
        <v>-520789</v>
      </c>
      <c r="N137" s="107">
        <f t="shared" si="155"/>
        <v>-380591</v>
      </c>
      <c r="O137" s="107">
        <f t="shared" ref="O137:T137" si="156">O135+O136</f>
        <v>-177996</v>
      </c>
      <c r="P137" s="107">
        <f t="shared" si="156"/>
        <v>171321</v>
      </c>
      <c r="Q137" s="107">
        <f t="shared" si="156"/>
        <v>362046</v>
      </c>
      <c r="R137" s="107">
        <f t="shared" si="156"/>
        <v>576671</v>
      </c>
      <c r="S137" s="107">
        <f t="shared" si="156"/>
        <v>784745.98863000004</v>
      </c>
      <c r="T137" s="107">
        <f t="shared" si="156"/>
        <v>273384</v>
      </c>
      <c r="U137" s="107">
        <f t="shared" ref="U137" si="157">U135+U136</f>
        <v>584587</v>
      </c>
    </row>
    <row r="138" spans="2:21">
      <c r="B138" s="102" t="s">
        <v>500</v>
      </c>
      <c r="C138" s="102" t="s">
        <v>331</v>
      </c>
      <c r="D138" s="108">
        <v>0</v>
      </c>
      <c r="E138" s="108">
        <v>0</v>
      </c>
      <c r="F138" s="108">
        <v>0</v>
      </c>
      <c r="G138" s="108">
        <v>0</v>
      </c>
      <c r="H138" s="108">
        <v>0</v>
      </c>
      <c r="I138" s="108">
        <v>0</v>
      </c>
      <c r="J138" s="108">
        <v>0</v>
      </c>
      <c r="K138" s="108">
        <v>0</v>
      </c>
      <c r="L138" s="108">
        <v>0</v>
      </c>
      <c r="M138" s="108">
        <v>0</v>
      </c>
      <c r="N138" s="108">
        <v>0</v>
      </c>
      <c r="O138" s="108">
        <v>0</v>
      </c>
      <c r="P138" s="108">
        <v>0</v>
      </c>
      <c r="Q138" s="108">
        <v>0</v>
      </c>
      <c r="R138" s="108">
        <v>0</v>
      </c>
      <c r="S138" s="108">
        <v>0</v>
      </c>
      <c r="T138" s="108">
        <v>0</v>
      </c>
      <c r="U138" s="108">
        <v>0</v>
      </c>
    </row>
    <row r="139" spans="2:21">
      <c r="B139" s="106" t="s">
        <v>499</v>
      </c>
      <c r="C139" s="106" t="s">
        <v>374</v>
      </c>
      <c r="D139" s="107">
        <f>D137+D138</f>
        <v>215744</v>
      </c>
      <c r="E139" s="107">
        <f t="shared" ref="E139:R139" si="158">E137+E138</f>
        <v>493064</v>
      </c>
      <c r="F139" s="107">
        <f t="shared" si="158"/>
        <v>739054</v>
      </c>
      <c r="G139" s="107">
        <f t="shared" si="158"/>
        <v>994542</v>
      </c>
      <c r="H139" s="107">
        <f t="shared" si="158"/>
        <v>186554</v>
      </c>
      <c r="I139" s="107">
        <f t="shared" si="158"/>
        <v>238306</v>
      </c>
      <c r="J139" s="107">
        <f t="shared" si="158"/>
        <v>437584</v>
      </c>
      <c r="K139" s="107">
        <f t="shared" si="158"/>
        <v>495617</v>
      </c>
      <c r="L139" s="107">
        <f t="shared" si="158"/>
        <v>118328</v>
      </c>
      <c r="M139" s="107">
        <f t="shared" si="158"/>
        <v>-520789</v>
      </c>
      <c r="N139" s="107">
        <f t="shared" si="158"/>
        <v>-380591</v>
      </c>
      <c r="O139" s="107">
        <f t="shared" si="158"/>
        <v>-177996</v>
      </c>
      <c r="P139" s="107">
        <f t="shared" si="158"/>
        <v>171321</v>
      </c>
      <c r="Q139" s="107">
        <f t="shared" si="158"/>
        <v>362046</v>
      </c>
      <c r="R139" s="107">
        <f t="shared" si="158"/>
        <v>576671</v>
      </c>
      <c r="S139" s="107">
        <f>S137+S138</f>
        <v>784745.98863000004</v>
      </c>
      <c r="T139" s="107">
        <f t="shared" ref="T139:U139" si="159">T137+T138</f>
        <v>273384</v>
      </c>
      <c r="U139" s="107">
        <f t="shared" si="159"/>
        <v>584587</v>
      </c>
    </row>
    <row r="140" spans="2:21">
      <c r="B140" s="102" t="s">
        <v>375</v>
      </c>
      <c r="C140" s="102" t="s">
        <v>135</v>
      </c>
      <c r="D140" s="108">
        <f t="shared" ref="D140:S140" si="160">D35+D70+D105</f>
        <v>0</v>
      </c>
      <c r="E140" s="108">
        <f t="shared" si="160"/>
        <v>0</v>
      </c>
      <c r="F140" s="108">
        <f t="shared" si="160"/>
        <v>0</v>
      </c>
      <c r="G140" s="108">
        <f t="shared" si="160"/>
        <v>0</v>
      </c>
      <c r="H140" s="108">
        <f t="shared" si="160"/>
        <v>0</v>
      </c>
      <c r="I140" s="108">
        <f t="shared" si="160"/>
        <v>0</v>
      </c>
      <c r="J140" s="108">
        <f t="shared" si="160"/>
        <v>0</v>
      </c>
      <c r="K140" s="108">
        <f t="shared" si="160"/>
        <v>0</v>
      </c>
      <c r="L140" s="108">
        <f t="shared" si="160"/>
        <v>0</v>
      </c>
      <c r="M140" s="108">
        <f t="shared" si="160"/>
        <v>0</v>
      </c>
      <c r="N140" s="108">
        <f t="shared" si="160"/>
        <v>0</v>
      </c>
      <c r="O140" s="108">
        <f t="shared" si="160"/>
        <v>0</v>
      </c>
      <c r="P140" s="108">
        <f t="shared" si="160"/>
        <v>0</v>
      </c>
      <c r="Q140" s="108">
        <f t="shared" si="160"/>
        <v>0</v>
      </c>
      <c r="R140" s="108">
        <f t="shared" si="160"/>
        <v>0</v>
      </c>
      <c r="S140" s="108">
        <f t="shared" si="160"/>
        <v>0</v>
      </c>
      <c r="T140" s="108">
        <f t="shared" ref="T140:U140" si="161">T35+T70+T105</f>
        <v>0</v>
      </c>
      <c r="U140" s="108">
        <f t="shared" si="161"/>
        <v>0</v>
      </c>
    </row>
    <row r="141" spans="2:21">
      <c r="B141" s="102" t="s">
        <v>376</v>
      </c>
      <c r="C141" s="102" t="s">
        <v>37</v>
      </c>
      <c r="D141" s="108">
        <f t="shared" ref="D141:S141" si="162">D36+D71+D106</f>
        <v>69444017</v>
      </c>
      <c r="E141" s="108">
        <f t="shared" si="162"/>
        <v>69437637</v>
      </c>
      <c r="F141" s="108">
        <f t="shared" si="162"/>
        <v>70208060</v>
      </c>
      <c r="G141" s="108">
        <f t="shared" si="162"/>
        <v>72387138</v>
      </c>
      <c r="H141" s="108">
        <f t="shared" si="162"/>
        <v>73579380</v>
      </c>
      <c r="I141" s="108">
        <f t="shared" si="162"/>
        <v>75935042</v>
      </c>
      <c r="J141" s="108">
        <f t="shared" si="162"/>
        <v>75844623</v>
      </c>
      <c r="K141" s="108">
        <f t="shared" si="162"/>
        <v>75544284</v>
      </c>
      <c r="L141" s="108">
        <f t="shared" si="162"/>
        <v>75344680</v>
      </c>
      <c r="M141" s="108">
        <f t="shared" si="162"/>
        <v>76308714</v>
      </c>
      <c r="N141" s="108">
        <f t="shared" si="162"/>
        <v>76369157</v>
      </c>
      <c r="O141" s="108">
        <f t="shared" si="162"/>
        <v>77423750</v>
      </c>
      <c r="P141" s="108">
        <f t="shared" si="162"/>
        <v>78648354</v>
      </c>
      <c r="Q141" s="108">
        <f t="shared" si="162"/>
        <v>77793465</v>
      </c>
      <c r="R141" s="108">
        <f t="shared" si="162"/>
        <v>77025685</v>
      </c>
      <c r="S141" s="108">
        <f t="shared" si="162"/>
        <v>81746043</v>
      </c>
      <c r="T141" s="108">
        <f t="shared" ref="T141:U141" si="163">T36+T71+T106</f>
        <v>83238741</v>
      </c>
      <c r="U141" s="108">
        <f t="shared" si="163"/>
        <v>82699902</v>
      </c>
    </row>
    <row r="142" spans="2:21">
      <c r="B142" s="102" t="s">
        <v>377</v>
      </c>
      <c r="C142" s="102" t="s">
        <v>378</v>
      </c>
      <c r="D142" s="108">
        <f t="shared" ref="D142:S142" si="164">D37+D72+D107</f>
        <v>64225966</v>
      </c>
      <c r="E142" s="108">
        <f t="shared" si="164"/>
        <v>64056821</v>
      </c>
      <c r="F142" s="108">
        <f t="shared" si="164"/>
        <v>64691005</v>
      </c>
      <c r="G142" s="108">
        <f t="shared" si="164"/>
        <v>66666103</v>
      </c>
      <c r="H142" s="108">
        <f t="shared" si="164"/>
        <v>67991137</v>
      </c>
      <c r="I142" s="108">
        <f t="shared" si="164"/>
        <v>70396654</v>
      </c>
      <c r="J142" s="108">
        <f t="shared" si="164"/>
        <v>70162666</v>
      </c>
      <c r="K142" s="108">
        <f t="shared" si="164"/>
        <v>69881864</v>
      </c>
      <c r="L142" s="108">
        <f t="shared" si="164"/>
        <v>69679754</v>
      </c>
      <c r="M142" s="108">
        <f t="shared" si="164"/>
        <v>71138803</v>
      </c>
      <c r="N142" s="108">
        <f t="shared" si="164"/>
        <v>71112148</v>
      </c>
      <c r="O142" s="108">
        <f t="shared" si="164"/>
        <v>72075745</v>
      </c>
      <c r="P142" s="108">
        <f t="shared" si="164"/>
        <v>73331419</v>
      </c>
      <c r="Q142" s="108">
        <f t="shared" si="164"/>
        <v>72449448</v>
      </c>
      <c r="R142" s="108">
        <f t="shared" si="164"/>
        <v>71583680</v>
      </c>
      <c r="S142" s="108">
        <f t="shared" si="164"/>
        <v>77092610</v>
      </c>
      <c r="T142" s="108">
        <f t="shared" ref="T142:U142" si="165">T37+T72+T107</f>
        <v>78998298</v>
      </c>
      <c r="U142" s="108">
        <f t="shared" si="165"/>
        <v>78774876</v>
      </c>
    </row>
    <row r="143" spans="2:21">
      <c r="Q143" s="108"/>
      <c r="R143" s="108"/>
      <c r="S143" s="108"/>
      <c r="U143" s="108"/>
    </row>
    <row r="144" spans="2:21">
      <c r="B144" s="104" t="s">
        <v>385</v>
      </c>
      <c r="C144" s="104" t="s">
        <v>386</v>
      </c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9"/>
      <c r="R144" s="109"/>
      <c r="S144" s="109"/>
      <c r="T144" s="105"/>
      <c r="U144" s="109"/>
    </row>
    <row r="145" spans="2:21">
      <c r="B145" s="106" t="s">
        <v>352</v>
      </c>
      <c r="C145" s="106" t="s">
        <v>353</v>
      </c>
      <c r="D145" s="107">
        <f t="shared" ref="D145:R145" si="166">D146+D147+D148</f>
        <v>0</v>
      </c>
      <c r="E145" s="107">
        <f t="shared" si="166"/>
        <v>0</v>
      </c>
      <c r="F145" s="107">
        <f t="shared" si="166"/>
        <v>0</v>
      </c>
      <c r="G145" s="107">
        <f t="shared" si="166"/>
        <v>0</v>
      </c>
      <c r="H145" s="107">
        <f t="shared" si="166"/>
        <v>0</v>
      </c>
      <c r="I145" s="107">
        <f t="shared" si="166"/>
        <v>0</v>
      </c>
      <c r="J145" s="107">
        <f t="shared" si="166"/>
        <v>0</v>
      </c>
      <c r="K145" s="107">
        <f t="shared" si="166"/>
        <v>0</v>
      </c>
      <c r="L145" s="107">
        <f t="shared" si="166"/>
        <v>0</v>
      </c>
      <c r="M145" s="107">
        <f t="shared" si="166"/>
        <v>0</v>
      </c>
      <c r="N145" s="107">
        <f t="shared" si="166"/>
        <v>0</v>
      </c>
      <c r="O145" s="107">
        <f t="shared" si="166"/>
        <v>0</v>
      </c>
      <c r="P145" s="107">
        <f t="shared" si="166"/>
        <v>0</v>
      </c>
      <c r="Q145" s="107">
        <f t="shared" si="166"/>
        <v>0</v>
      </c>
      <c r="R145" s="107">
        <f t="shared" si="166"/>
        <v>0</v>
      </c>
      <c r="S145" s="107">
        <f>S146+S147+S148</f>
        <v>0</v>
      </c>
      <c r="T145" s="107">
        <f t="shared" ref="T145:U145" si="167">T146+T147+T148</f>
        <v>0</v>
      </c>
      <c r="U145" s="107">
        <f t="shared" si="167"/>
        <v>0</v>
      </c>
    </row>
    <row r="146" spans="2:21">
      <c r="B146" s="102" t="s">
        <v>354</v>
      </c>
      <c r="C146" s="102" t="s">
        <v>355</v>
      </c>
      <c r="D146" s="102">
        <v>0</v>
      </c>
      <c r="E146" s="102">
        <v>0</v>
      </c>
      <c r="F146" s="102">
        <v>0</v>
      </c>
      <c r="G146" s="102">
        <v>0</v>
      </c>
      <c r="H146" s="102">
        <v>0</v>
      </c>
      <c r="I146" s="108">
        <v>0</v>
      </c>
      <c r="J146" s="102">
        <v>0</v>
      </c>
      <c r="K146" s="108">
        <v>0</v>
      </c>
      <c r="L146" s="108">
        <v>0</v>
      </c>
      <c r="M146" s="108">
        <v>0</v>
      </c>
      <c r="N146" s="102">
        <v>0</v>
      </c>
      <c r="O146" s="108">
        <v>0</v>
      </c>
      <c r="P146" s="108">
        <v>0</v>
      </c>
      <c r="Q146" s="108">
        <v>0</v>
      </c>
      <c r="R146" s="108">
        <v>0</v>
      </c>
      <c r="S146" s="108">
        <v>0</v>
      </c>
      <c r="T146" s="108">
        <v>0</v>
      </c>
      <c r="U146" s="108">
        <v>0</v>
      </c>
    </row>
    <row r="147" spans="2:21">
      <c r="B147" s="102" t="s">
        <v>356</v>
      </c>
      <c r="C147" s="102" t="s">
        <v>357</v>
      </c>
      <c r="D147" s="102">
        <v>0</v>
      </c>
      <c r="E147" s="102">
        <v>0</v>
      </c>
      <c r="F147" s="102">
        <v>0</v>
      </c>
      <c r="G147" s="102">
        <v>0</v>
      </c>
      <c r="H147" s="102">
        <v>0</v>
      </c>
      <c r="I147" s="108">
        <v>0</v>
      </c>
      <c r="J147" s="102">
        <v>0</v>
      </c>
      <c r="K147" s="102">
        <v>0</v>
      </c>
      <c r="L147" s="102">
        <v>0</v>
      </c>
      <c r="M147" s="108">
        <v>0</v>
      </c>
      <c r="N147" s="102">
        <v>0</v>
      </c>
      <c r="O147" s="102">
        <v>0</v>
      </c>
      <c r="P147" s="102">
        <v>0</v>
      </c>
      <c r="Q147" s="108">
        <v>0</v>
      </c>
      <c r="R147" s="108">
        <v>0</v>
      </c>
      <c r="S147" s="108">
        <v>0</v>
      </c>
      <c r="T147" s="102">
        <v>0</v>
      </c>
      <c r="U147" s="108">
        <v>0</v>
      </c>
    </row>
    <row r="148" spans="2:21">
      <c r="B148" s="102" t="s">
        <v>358</v>
      </c>
      <c r="C148" s="102" t="s">
        <v>359</v>
      </c>
      <c r="D148" s="102">
        <v>0</v>
      </c>
      <c r="E148" s="102">
        <v>0</v>
      </c>
      <c r="F148" s="102">
        <v>0</v>
      </c>
      <c r="G148" s="102">
        <v>0</v>
      </c>
      <c r="H148" s="102">
        <v>0</v>
      </c>
      <c r="I148" s="108">
        <v>0</v>
      </c>
      <c r="J148" s="102">
        <v>0</v>
      </c>
      <c r="K148" s="108">
        <v>0</v>
      </c>
      <c r="L148" s="108">
        <v>0</v>
      </c>
      <c r="M148" s="108">
        <v>0</v>
      </c>
      <c r="N148" s="102">
        <v>0</v>
      </c>
      <c r="O148" s="108">
        <v>0</v>
      </c>
      <c r="P148" s="108">
        <v>0</v>
      </c>
      <c r="Q148" s="108">
        <v>0</v>
      </c>
      <c r="R148" s="108">
        <v>0</v>
      </c>
      <c r="S148" s="108">
        <v>0</v>
      </c>
      <c r="T148" s="108">
        <v>0</v>
      </c>
      <c r="U148" s="108">
        <v>0</v>
      </c>
    </row>
    <row r="149" spans="2:21">
      <c r="B149" s="106" t="s">
        <v>360</v>
      </c>
      <c r="C149" s="106" t="s">
        <v>361</v>
      </c>
      <c r="D149" s="107">
        <f t="shared" ref="D149:J149" si="168">D150+D151</f>
        <v>0</v>
      </c>
      <c r="E149" s="107">
        <f t="shared" si="168"/>
        <v>0</v>
      </c>
      <c r="F149" s="107">
        <f t="shared" si="168"/>
        <v>0</v>
      </c>
      <c r="G149" s="107">
        <f t="shared" si="168"/>
        <v>0</v>
      </c>
      <c r="H149" s="107">
        <f t="shared" si="168"/>
        <v>0</v>
      </c>
      <c r="I149" s="107">
        <f t="shared" si="168"/>
        <v>0</v>
      </c>
      <c r="J149" s="107">
        <f t="shared" si="168"/>
        <v>0</v>
      </c>
      <c r="K149" s="107">
        <f t="shared" ref="K149:S149" si="169">K150+K151</f>
        <v>0</v>
      </c>
      <c r="L149" s="107">
        <f t="shared" si="169"/>
        <v>0</v>
      </c>
      <c r="M149" s="107">
        <f t="shared" si="169"/>
        <v>0</v>
      </c>
      <c r="N149" s="107">
        <f t="shared" si="169"/>
        <v>0</v>
      </c>
      <c r="O149" s="107">
        <f t="shared" si="169"/>
        <v>0</v>
      </c>
      <c r="P149" s="107">
        <f t="shared" si="169"/>
        <v>0</v>
      </c>
      <c r="Q149" s="107">
        <f t="shared" si="169"/>
        <v>0</v>
      </c>
      <c r="R149" s="107">
        <f t="shared" si="169"/>
        <v>0</v>
      </c>
      <c r="S149" s="107">
        <f t="shared" si="169"/>
        <v>0</v>
      </c>
      <c r="T149" s="107">
        <f t="shared" ref="T149:U149" si="170">T150+T151</f>
        <v>0</v>
      </c>
      <c r="U149" s="107">
        <f t="shared" si="170"/>
        <v>0</v>
      </c>
    </row>
    <row r="150" spans="2:21">
      <c r="B150" s="102" t="s">
        <v>362</v>
      </c>
      <c r="C150" s="102" t="s">
        <v>363</v>
      </c>
      <c r="D150" s="102">
        <v>0</v>
      </c>
      <c r="E150" s="102">
        <v>0</v>
      </c>
      <c r="F150" s="102">
        <v>0</v>
      </c>
      <c r="G150" s="102">
        <v>0</v>
      </c>
      <c r="H150" s="102">
        <v>0</v>
      </c>
      <c r="I150" s="108">
        <v>0</v>
      </c>
      <c r="J150" s="102">
        <v>0</v>
      </c>
      <c r="K150" s="108">
        <v>0</v>
      </c>
      <c r="L150" s="108">
        <v>0</v>
      </c>
      <c r="M150" s="108">
        <v>0</v>
      </c>
      <c r="N150" s="102">
        <v>0</v>
      </c>
      <c r="O150" s="108">
        <v>0</v>
      </c>
      <c r="P150" s="108">
        <v>0</v>
      </c>
      <c r="Q150" s="108">
        <v>0</v>
      </c>
      <c r="R150" s="108">
        <v>0</v>
      </c>
      <c r="S150" s="108">
        <v>0</v>
      </c>
      <c r="T150" s="108">
        <v>0</v>
      </c>
      <c r="U150" s="108">
        <v>0</v>
      </c>
    </row>
    <row r="151" spans="2:21">
      <c r="B151" s="102" t="s">
        <v>364</v>
      </c>
      <c r="C151" s="102" t="s">
        <v>365</v>
      </c>
      <c r="D151" s="102">
        <v>0</v>
      </c>
      <c r="E151" s="102">
        <v>0</v>
      </c>
      <c r="F151" s="102">
        <v>0</v>
      </c>
      <c r="G151" s="102">
        <v>0</v>
      </c>
      <c r="H151" s="102">
        <v>0</v>
      </c>
      <c r="I151" s="108">
        <v>0</v>
      </c>
      <c r="J151" s="102">
        <v>0</v>
      </c>
      <c r="K151" s="108">
        <v>0</v>
      </c>
      <c r="L151" s="108">
        <v>0</v>
      </c>
      <c r="M151" s="108">
        <v>0</v>
      </c>
      <c r="N151" s="102">
        <v>0</v>
      </c>
      <c r="O151" s="108">
        <v>0</v>
      </c>
      <c r="P151" s="108">
        <v>0</v>
      </c>
      <c r="Q151" s="108">
        <v>0</v>
      </c>
      <c r="R151" s="108">
        <v>0</v>
      </c>
      <c r="S151" s="108">
        <v>0</v>
      </c>
      <c r="T151" s="108">
        <v>0</v>
      </c>
      <c r="U151" s="108">
        <v>0</v>
      </c>
    </row>
    <row r="152" spans="2:21">
      <c r="B152" s="106" t="s">
        <v>204</v>
      </c>
      <c r="C152" s="106" t="s">
        <v>2</v>
      </c>
      <c r="D152" s="107">
        <f t="shared" ref="D152:N152" si="171">D145+D149</f>
        <v>0</v>
      </c>
      <c r="E152" s="107">
        <f t="shared" si="171"/>
        <v>0</v>
      </c>
      <c r="F152" s="107">
        <f t="shared" si="171"/>
        <v>0</v>
      </c>
      <c r="G152" s="107">
        <f t="shared" si="171"/>
        <v>0</v>
      </c>
      <c r="H152" s="107">
        <f t="shared" si="171"/>
        <v>0</v>
      </c>
      <c r="I152" s="107">
        <f t="shared" si="171"/>
        <v>0</v>
      </c>
      <c r="J152" s="107">
        <f t="shared" si="171"/>
        <v>0</v>
      </c>
      <c r="K152" s="107">
        <f>K145+K149</f>
        <v>0</v>
      </c>
      <c r="L152" s="107">
        <f>L145+L149</f>
        <v>0</v>
      </c>
      <c r="M152" s="107">
        <f t="shared" si="171"/>
        <v>0</v>
      </c>
      <c r="N152" s="107">
        <f t="shared" si="171"/>
        <v>0</v>
      </c>
      <c r="O152" s="107">
        <f t="shared" ref="O152:T152" si="172">O145+O149</f>
        <v>0</v>
      </c>
      <c r="P152" s="107">
        <f t="shared" si="172"/>
        <v>0</v>
      </c>
      <c r="Q152" s="107">
        <f t="shared" si="172"/>
        <v>0</v>
      </c>
      <c r="R152" s="107">
        <f t="shared" si="172"/>
        <v>0</v>
      </c>
      <c r="S152" s="107">
        <f t="shared" si="172"/>
        <v>0</v>
      </c>
      <c r="T152" s="107">
        <f t="shared" si="172"/>
        <v>0</v>
      </c>
      <c r="U152" s="107">
        <f t="shared" ref="U152" si="173">U145+U149</f>
        <v>0</v>
      </c>
    </row>
    <row r="153" spans="2:21">
      <c r="B153" s="102" t="s">
        <v>205</v>
      </c>
      <c r="C153" s="102" t="s">
        <v>366</v>
      </c>
      <c r="D153" s="102">
        <v>0</v>
      </c>
      <c r="E153" s="102">
        <v>0</v>
      </c>
      <c r="F153" s="102">
        <v>0</v>
      </c>
      <c r="G153" s="102">
        <v>0</v>
      </c>
      <c r="H153" s="102">
        <v>0</v>
      </c>
      <c r="I153" s="108">
        <v>0</v>
      </c>
      <c r="J153" s="102">
        <v>0</v>
      </c>
      <c r="K153" s="108">
        <v>0</v>
      </c>
      <c r="L153" s="108">
        <v>0</v>
      </c>
      <c r="M153" s="108">
        <v>0</v>
      </c>
      <c r="N153" s="102">
        <v>0</v>
      </c>
      <c r="O153" s="108">
        <v>0</v>
      </c>
      <c r="P153" s="108">
        <v>0</v>
      </c>
      <c r="Q153" s="108">
        <v>0</v>
      </c>
      <c r="R153" s="108">
        <v>0</v>
      </c>
      <c r="S153" s="108">
        <v>0</v>
      </c>
      <c r="T153" s="108">
        <v>0</v>
      </c>
      <c r="U153" s="108">
        <v>0</v>
      </c>
    </row>
    <row r="154" spans="2:21">
      <c r="B154" s="102" t="s">
        <v>206</v>
      </c>
      <c r="C154" s="102" t="s">
        <v>367</v>
      </c>
      <c r="D154" s="102">
        <v>0</v>
      </c>
      <c r="E154" s="102">
        <v>0</v>
      </c>
      <c r="F154" s="102">
        <v>0</v>
      </c>
      <c r="G154" s="102">
        <v>0</v>
      </c>
      <c r="H154" s="102">
        <v>0</v>
      </c>
      <c r="I154" s="108">
        <v>0</v>
      </c>
      <c r="J154" s="102">
        <v>0</v>
      </c>
      <c r="K154" s="108">
        <v>0</v>
      </c>
      <c r="L154" s="108">
        <v>0</v>
      </c>
      <c r="M154" s="108">
        <v>0</v>
      </c>
      <c r="N154" s="102">
        <v>0</v>
      </c>
      <c r="O154" s="108">
        <v>0</v>
      </c>
      <c r="P154" s="108">
        <v>0</v>
      </c>
      <c r="Q154" s="108">
        <v>0</v>
      </c>
      <c r="R154" s="108">
        <v>0</v>
      </c>
      <c r="S154" s="108">
        <v>0</v>
      </c>
      <c r="T154" s="108">
        <v>0</v>
      </c>
      <c r="U154" s="108">
        <v>0</v>
      </c>
    </row>
    <row r="155" spans="2:21">
      <c r="B155" s="106" t="s">
        <v>207</v>
      </c>
      <c r="C155" s="106" t="s">
        <v>13</v>
      </c>
      <c r="D155" s="107">
        <f t="shared" ref="D155:J155" si="174">D153+D154</f>
        <v>0</v>
      </c>
      <c r="E155" s="107">
        <f t="shared" si="174"/>
        <v>0</v>
      </c>
      <c r="F155" s="107">
        <f t="shared" si="174"/>
        <v>0</v>
      </c>
      <c r="G155" s="107">
        <f t="shared" si="174"/>
        <v>0</v>
      </c>
      <c r="H155" s="107">
        <f t="shared" si="174"/>
        <v>0</v>
      </c>
      <c r="I155" s="107">
        <f t="shared" si="174"/>
        <v>0</v>
      </c>
      <c r="J155" s="107">
        <f t="shared" si="174"/>
        <v>0</v>
      </c>
      <c r="K155" s="107">
        <f t="shared" ref="K155:P155" si="175">K153+K154</f>
        <v>0</v>
      </c>
      <c r="L155" s="107">
        <f t="shared" si="175"/>
        <v>0</v>
      </c>
      <c r="M155" s="107">
        <f t="shared" si="175"/>
        <v>0</v>
      </c>
      <c r="N155" s="107">
        <f t="shared" si="175"/>
        <v>0</v>
      </c>
      <c r="O155" s="107">
        <f t="shared" si="175"/>
        <v>0</v>
      </c>
      <c r="P155" s="107">
        <f t="shared" si="175"/>
        <v>0</v>
      </c>
      <c r="Q155" s="108">
        <v>0</v>
      </c>
      <c r="R155" s="108">
        <v>0</v>
      </c>
      <c r="S155" s="108">
        <v>0</v>
      </c>
      <c r="T155" s="107">
        <f t="shared" ref="T155" si="176">T153+T154</f>
        <v>0</v>
      </c>
      <c r="U155" s="108">
        <v>0</v>
      </c>
    </row>
    <row r="156" spans="2:21">
      <c r="B156" s="102" t="s">
        <v>208</v>
      </c>
      <c r="C156" s="102" t="s">
        <v>3</v>
      </c>
      <c r="D156" s="102">
        <v>0</v>
      </c>
      <c r="E156" s="102">
        <v>0</v>
      </c>
      <c r="F156" s="102">
        <v>0</v>
      </c>
      <c r="G156" s="102">
        <v>0</v>
      </c>
      <c r="H156" s="102">
        <v>0</v>
      </c>
      <c r="I156" s="108">
        <v>0</v>
      </c>
      <c r="J156" s="102">
        <v>0</v>
      </c>
      <c r="K156" s="108">
        <v>0</v>
      </c>
      <c r="L156" s="108">
        <v>0</v>
      </c>
      <c r="M156" s="108">
        <v>0</v>
      </c>
      <c r="N156" s="102">
        <v>0</v>
      </c>
      <c r="O156" s="108">
        <v>0</v>
      </c>
      <c r="P156" s="108">
        <v>0</v>
      </c>
      <c r="Q156" s="108">
        <v>0</v>
      </c>
      <c r="R156" s="108">
        <v>0</v>
      </c>
      <c r="S156" s="108">
        <v>0</v>
      </c>
      <c r="T156" s="108">
        <v>0</v>
      </c>
      <c r="U156" s="108">
        <v>0</v>
      </c>
    </row>
    <row r="157" spans="2:21">
      <c r="B157" s="102" t="s">
        <v>209</v>
      </c>
      <c r="C157" s="102" t="s">
        <v>18</v>
      </c>
      <c r="D157" s="102">
        <v>0</v>
      </c>
      <c r="E157" s="102">
        <v>0</v>
      </c>
      <c r="F157" s="102">
        <v>0</v>
      </c>
      <c r="G157" s="102">
        <v>0</v>
      </c>
      <c r="H157" s="102">
        <v>0</v>
      </c>
      <c r="I157" s="108">
        <v>0</v>
      </c>
      <c r="J157" s="102">
        <v>0</v>
      </c>
      <c r="K157" s="108">
        <v>0</v>
      </c>
      <c r="L157" s="108">
        <v>0</v>
      </c>
      <c r="M157" s="108">
        <v>0</v>
      </c>
      <c r="N157" s="102">
        <v>0</v>
      </c>
      <c r="O157" s="108">
        <v>0</v>
      </c>
      <c r="P157" s="108">
        <v>0</v>
      </c>
      <c r="Q157" s="108">
        <v>0</v>
      </c>
      <c r="R157" s="108">
        <v>0</v>
      </c>
      <c r="S157" s="108">
        <v>0</v>
      </c>
      <c r="T157" s="108">
        <v>0</v>
      </c>
      <c r="U157" s="108">
        <v>0</v>
      </c>
    </row>
    <row r="158" spans="2:21">
      <c r="B158" s="106" t="s">
        <v>210</v>
      </c>
      <c r="C158" s="106" t="s">
        <v>368</v>
      </c>
      <c r="D158" s="106">
        <f t="shared" ref="D158:J158" si="177">D159+D160</f>
        <v>0</v>
      </c>
      <c r="E158" s="106">
        <f t="shared" si="177"/>
        <v>0</v>
      </c>
      <c r="F158" s="106">
        <f t="shared" si="177"/>
        <v>0</v>
      </c>
      <c r="G158" s="106">
        <f t="shared" si="177"/>
        <v>0</v>
      </c>
      <c r="H158" s="106">
        <f t="shared" si="177"/>
        <v>0</v>
      </c>
      <c r="I158" s="107">
        <f t="shared" si="177"/>
        <v>0</v>
      </c>
      <c r="J158" s="106">
        <f t="shared" si="177"/>
        <v>0</v>
      </c>
      <c r="K158" s="106">
        <f t="shared" ref="K158:S158" si="178">K159+K160</f>
        <v>0</v>
      </c>
      <c r="L158" s="106">
        <f t="shared" si="178"/>
        <v>0</v>
      </c>
      <c r="M158" s="107">
        <f t="shared" si="178"/>
        <v>0</v>
      </c>
      <c r="N158" s="106">
        <f t="shared" si="178"/>
        <v>0</v>
      </c>
      <c r="O158" s="106">
        <f t="shared" si="178"/>
        <v>0</v>
      </c>
      <c r="P158" s="106">
        <f t="shared" si="178"/>
        <v>0</v>
      </c>
      <c r="Q158" s="107">
        <f t="shared" si="178"/>
        <v>0</v>
      </c>
      <c r="R158" s="107">
        <f t="shared" si="178"/>
        <v>0</v>
      </c>
      <c r="S158" s="107">
        <f t="shared" si="178"/>
        <v>0</v>
      </c>
      <c r="T158" s="106">
        <f t="shared" ref="T158:U158" si="179">T159+T160</f>
        <v>0</v>
      </c>
      <c r="U158" s="107">
        <f t="shared" si="179"/>
        <v>0</v>
      </c>
    </row>
    <row r="159" spans="2:21">
      <c r="B159" s="102" t="s">
        <v>211</v>
      </c>
      <c r="C159" s="102" t="s">
        <v>369</v>
      </c>
      <c r="D159" s="102">
        <v>0</v>
      </c>
      <c r="E159" s="102">
        <v>0</v>
      </c>
      <c r="F159" s="102">
        <v>0</v>
      </c>
      <c r="G159" s="102">
        <v>0</v>
      </c>
      <c r="H159" s="102">
        <v>0</v>
      </c>
      <c r="I159" s="108">
        <v>0</v>
      </c>
      <c r="J159" s="102">
        <v>0</v>
      </c>
      <c r="K159" s="108">
        <v>0</v>
      </c>
      <c r="L159" s="108">
        <v>0</v>
      </c>
      <c r="M159" s="108">
        <v>0</v>
      </c>
      <c r="N159" s="102">
        <v>0</v>
      </c>
      <c r="O159" s="108">
        <v>0</v>
      </c>
      <c r="P159" s="108">
        <v>0</v>
      </c>
      <c r="Q159" s="108">
        <v>0</v>
      </c>
      <c r="R159" s="108">
        <v>0</v>
      </c>
      <c r="S159" s="108">
        <v>0</v>
      </c>
      <c r="T159" s="108">
        <v>0</v>
      </c>
      <c r="U159" s="108">
        <v>0</v>
      </c>
    </row>
    <row r="160" spans="2:21">
      <c r="B160" s="102" t="s">
        <v>212</v>
      </c>
      <c r="C160" s="102" t="s">
        <v>15</v>
      </c>
      <c r="D160" s="102">
        <v>0</v>
      </c>
      <c r="E160" s="102">
        <v>0</v>
      </c>
      <c r="F160" s="102">
        <v>0</v>
      </c>
      <c r="G160" s="102">
        <v>0</v>
      </c>
      <c r="H160" s="102">
        <v>0</v>
      </c>
      <c r="I160" s="108">
        <v>0</v>
      </c>
      <c r="J160" s="102">
        <v>0</v>
      </c>
      <c r="K160" s="108">
        <v>0</v>
      </c>
      <c r="L160" s="108">
        <v>0</v>
      </c>
      <c r="M160" s="108">
        <v>0</v>
      </c>
      <c r="N160" s="102">
        <v>0</v>
      </c>
      <c r="O160" s="108">
        <v>0</v>
      </c>
      <c r="P160" s="108">
        <v>0</v>
      </c>
      <c r="Q160" s="108">
        <v>0</v>
      </c>
      <c r="R160" s="108">
        <v>0</v>
      </c>
      <c r="S160" s="108">
        <v>0</v>
      </c>
      <c r="T160" s="108">
        <v>0</v>
      </c>
      <c r="U160" s="108">
        <v>0</v>
      </c>
    </row>
    <row r="161" spans="2:21">
      <c r="B161" s="102" t="s">
        <v>213</v>
      </c>
      <c r="C161" s="102" t="s">
        <v>7</v>
      </c>
      <c r="D161" s="102">
        <v>0</v>
      </c>
      <c r="E161" s="102">
        <v>0</v>
      </c>
      <c r="F161" s="102">
        <v>0</v>
      </c>
      <c r="G161" s="102">
        <v>0</v>
      </c>
      <c r="H161" s="102">
        <v>0</v>
      </c>
      <c r="I161" s="108">
        <v>0</v>
      </c>
      <c r="J161" s="102">
        <v>0</v>
      </c>
      <c r="K161" s="108">
        <v>0</v>
      </c>
      <c r="L161" s="108">
        <v>0</v>
      </c>
      <c r="M161" s="108">
        <v>0</v>
      </c>
      <c r="N161" s="102">
        <v>0</v>
      </c>
      <c r="O161" s="108">
        <v>0</v>
      </c>
      <c r="P161" s="108">
        <v>0</v>
      </c>
      <c r="Q161" s="108">
        <v>0</v>
      </c>
      <c r="R161" s="108">
        <v>0</v>
      </c>
      <c r="S161" s="108">
        <v>0</v>
      </c>
      <c r="T161" s="108">
        <v>0</v>
      </c>
      <c r="U161" s="108">
        <v>0</v>
      </c>
    </row>
    <row r="162" spans="2:21">
      <c r="B162" s="102" t="s">
        <v>370</v>
      </c>
      <c r="C162" s="102" t="s">
        <v>8</v>
      </c>
      <c r="D162" s="102">
        <v>0</v>
      </c>
      <c r="E162" s="102">
        <v>0</v>
      </c>
      <c r="F162" s="102">
        <v>0</v>
      </c>
      <c r="G162" s="102">
        <v>0</v>
      </c>
      <c r="H162" s="102">
        <v>0</v>
      </c>
      <c r="I162" s="108">
        <v>0</v>
      </c>
      <c r="J162" s="102">
        <v>0</v>
      </c>
      <c r="K162" s="108">
        <v>0</v>
      </c>
      <c r="L162" s="108">
        <v>0</v>
      </c>
      <c r="M162" s="108">
        <v>0</v>
      </c>
      <c r="N162" s="102">
        <v>0</v>
      </c>
      <c r="O162" s="108">
        <v>0</v>
      </c>
      <c r="P162" s="108">
        <v>0</v>
      </c>
      <c r="Q162" s="108">
        <v>0</v>
      </c>
      <c r="R162" s="108">
        <v>0</v>
      </c>
      <c r="S162" s="108">
        <v>0</v>
      </c>
      <c r="T162" s="108">
        <v>0</v>
      </c>
      <c r="U162" s="108">
        <v>0</v>
      </c>
    </row>
    <row r="163" spans="2:21">
      <c r="B163" s="106" t="s">
        <v>371</v>
      </c>
      <c r="C163" s="106" t="s">
        <v>9</v>
      </c>
      <c r="D163" s="107">
        <f t="shared" ref="D163:J163" si="180">D161+D162</f>
        <v>0</v>
      </c>
      <c r="E163" s="107">
        <f t="shared" si="180"/>
        <v>0</v>
      </c>
      <c r="F163" s="107">
        <f t="shared" si="180"/>
        <v>0</v>
      </c>
      <c r="G163" s="107">
        <f t="shared" si="180"/>
        <v>0</v>
      </c>
      <c r="H163" s="107">
        <f t="shared" si="180"/>
        <v>0</v>
      </c>
      <c r="I163" s="107">
        <f t="shared" si="180"/>
        <v>0</v>
      </c>
      <c r="J163" s="107">
        <f t="shared" si="180"/>
        <v>0</v>
      </c>
      <c r="K163" s="107">
        <f t="shared" ref="K163:S163" si="181">K161+K162</f>
        <v>0</v>
      </c>
      <c r="L163" s="107">
        <f t="shared" si="181"/>
        <v>0</v>
      </c>
      <c r="M163" s="107">
        <f t="shared" si="181"/>
        <v>0</v>
      </c>
      <c r="N163" s="107">
        <f t="shared" si="181"/>
        <v>0</v>
      </c>
      <c r="O163" s="107">
        <f t="shared" si="181"/>
        <v>0</v>
      </c>
      <c r="P163" s="107">
        <f t="shared" si="181"/>
        <v>0</v>
      </c>
      <c r="Q163" s="107">
        <f t="shared" si="181"/>
        <v>0</v>
      </c>
      <c r="R163" s="107">
        <f t="shared" si="181"/>
        <v>0</v>
      </c>
      <c r="S163" s="107">
        <f t="shared" si="181"/>
        <v>0</v>
      </c>
      <c r="T163" s="107">
        <f t="shared" ref="T163:U163" si="182">T161+T162</f>
        <v>0</v>
      </c>
      <c r="U163" s="107">
        <f t="shared" si="182"/>
        <v>0</v>
      </c>
    </row>
    <row r="164" spans="2:21">
      <c r="B164" s="128" t="s">
        <v>528</v>
      </c>
      <c r="C164" s="106" t="s">
        <v>524</v>
      </c>
      <c r="D164" s="107">
        <f>D152+D155+D158+D163+D157</f>
        <v>0</v>
      </c>
      <c r="E164" s="107">
        <f t="shared" ref="E164:R164" si="183">E152+E155+E158+E163+E157+E156</f>
        <v>0</v>
      </c>
      <c r="F164" s="107">
        <f t="shared" si="183"/>
        <v>0</v>
      </c>
      <c r="G164" s="107">
        <f t="shared" si="183"/>
        <v>0</v>
      </c>
      <c r="H164" s="107">
        <f t="shared" si="183"/>
        <v>0</v>
      </c>
      <c r="I164" s="107">
        <f t="shared" si="183"/>
        <v>0</v>
      </c>
      <c r="J164" s="107">
        <f t="shared" si="183"/>
        <v>0</v>
      </c>
      <c r="K164" s="107">
        <f t="shared" si="183"/>
        <v>0</v>
      </c>
      <c r="L164" s="107">
        <f t="shared" si="183"/>
        <v>0</v>
      </c>
      <c r="M164" s="107">
        <f t="shared" si="183"/>
        <v>0</v>
      </c>
      <c r="N164" s="107">
        <f t="shared" si="183"/>
        <v>0</v>
      </c>
      <c r="O164" s="107">
        <f t="shared" si="183"/>
        <v>0</v>
      </c>
      <c r="P164" s="107">
        <f t="shared" si="183"/>
        <v>0</v>
      </c>
      <c r="Q164" s="107">
        <f t="shared" si="183"/>
        <v>0</v>
      </c>
      <c r="R164" s="107">
        <f t="shared" si="183"/>
        <v>0</v>
      </c>
      <c r="S164" s="107">
        <f>S152+S155+S158+S163+S157+S156</f>
        <v>0</v>
      </c>
      <c r="T164" s="107">
        <f t="shared" ref="T164:U164" si="184">T152+T155+T158+T163+T157+T156</f>
        <v>0</v>
      </c>
      <c r="U164" s="107">
        <f t="shared" si="184"/>
        <v>0</v>
      </c>
    </row>
    <row r="165" spans="2:21">
      <c r="B165" s="102" t="s">
        <v>346</v>
      </c>
      <c r="C165" s="102" t="s">
        <v>372</v>
      </c>
      <c r="D165" s="102">
        <v>0</v>
      </c>
      <c r="E165" s="102">
        <v>0</v>
      </c>
      <c r="F165" s="102">
        <v>0</v>
      </c>
      <c r="G165" s="102">
        <v>0</v>
      </c>
      <c r="H165" s="102">
        <v>0</v>
      </c>
      <c r="I165" s="108">
        <v>0</v>
      </c>
      <c r="J165" s="102">
        <v>0</v>
      </c>
      <c r="K165" s="108">
        <v>0</v>
      </c>
      <c r="L165" s="108">
        <v>0</v>
      </c>
      <c r="M165" s="108">
        <v>0</v>
      </c>
      <c r="N165" s="102">
        <v>0</v>
      </c>
      <c r="O165" s="108">
        <v>0</v>
      </c>
      <c r="P165" s="108">
        <v>0</v>
      </c>
      <c r="Q165" s="108">
        <v>0</v>
      </c>
      <c r="R165" s="108">
        <v>0</v>
      </c>
      <c r="S165" s="108">
        <v>0</v>
      </c>
      <c r="T165" s="108">
        <v>0</v>
      </c>
      <c r="U165" s="108">
        <v>0</v>
      </c>
    </row>
    <row r="166" spans="2:21">
      <c r="B166" s="102" t="s">
        <v>373</v>
      </c>
      <c r="C166" s="102" t="s">
        <v>347</v>
      </c>
      <c r="D166" s="108">
        <v>-1756</v>
      </c>
      <c r="E166" s="108">
        <v>-2234</v>
      </c>
      <c r="F166" s="108">
        <v>-3266</v>
      </c>
      <c r="G166" s="108">
        <v>-6251</v>
      </c>
      <c r="H166" s="108">
        <v>-1644</v>
      </c>
      <c r="I166" s="108">
        <v>-1749</v>
      </c>
      <c r="J166" s="108">
        <v>-1756</v>
      </c>
      <c r="K166" s="108">
        <v>-5946</v>
      </c>
      <c r="L166" s="108">
        <v>1307</v>
      </c>
      <c r="M166" s="108">
        <v>-4190</v>
      </c>
      <c r="N166" s="108">
        <v>-5992</v>
      </c>
      <c r="O166" s="108">
        <v>-28454</v>
      </c>
      <c r="P166" s="108">
        <v>-477</v>
      </c>
      <c r="Q166" s="108">
        <v>-1876</v>
      </c>
      <c r="R166" s="108">
        <v>-3206</v>
      </c>
      <c r="S166" s="108">
        <v>-5535</v>
      </c>
      <c r="T166" s="108">
        <v>0</v>
      </c>
      <c r="U166" s="108">
        <v>-9322</v>
      </c>
    </row>
    <row r="167" spans="2:21">
      <c r="B167" s="102" t="s">
        <v>474</v>
      </c>
      <c r="C167" s="102" t="s">
        <v>473</v>
      </c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</row>
    <row r="168" spans="2:21">
      <c r="B168" s="106" t="s">
        <v>529</v>
      </c>
      <c r="C168" s="106" t="s">
        <v>525</v>
      </c>
      <c r="D168" s="107">
        <f t="shared" ref="D168:N168" si="185">D164+D165+D166</f>
        <v>-1756</v>
      </c>
      <c r="E168" s="107">
        <f t="shared" si="185"/>
        <v>-2234</v>
      </c>
      <c r="F168" s="107">
        <f t="shared" si="185"/>
        <v>-3266</v>
      </c>
      <c r="G168" s="107">
        <f t="shared" si="185"/>
        <v>-6251</v>
      </c>
      <c r="H168" s="107">
        <f t="shared" si="185"/>
        <v>-1644</v>
      </c>
      <c r="I168" s="107">
        <f t="shared" si="185"/>
        <v>-1749</v>
      </c>
      <c r="J168" s="107">
        <f t="shared" si="185"/>
        <v>-1756</v>
      </c>
      <c r="K168" s="107">
        <f t="shared" si="185"/>
        <v>-5946</v>
      </c>
      <c r="L168" s="107">
        <f t="shared" si="185"/>
        <v>1307</v>
      </c>
      <c r="M168" s="107">
        <f t="shared" si="185"/>
        <v>-4190</v>
      </c>
      <c r="N168" s="107">
        <f t="shared" si="185"/>
        <v>-5992</v>
      </c>
      <c r="O168" s="107">
        <f t="shared" ref="O168:T168" si="186">O164+O165+O166</f>
        <v>-28454</v>
      </c>
      <c r="P168" s="107">
        <f t="shared" si="186"/>
        <v>-477</v>
      </c>
      <c r="Q168" s="107">
        <f t="shared" si="186"/>
        <v>-1876</v>
      </c>
      <c r="R168" s="107">
        <f t="shared" si="186"/>
        <v>-3206</v>
      </c>
      <c r="S168" s="107">
        <f t="shared" si="186"/>
        <v>-5535</v>
      </c>
      <c r="T168" s="107">
        <f t="shared" si="186"/>
        <v>0</v>
      </c>
      <c r="U168" s="107">
        <f t="shared" ref="U168" si="187">U164+U165+U166</f>
        <v>-9322</v>
      </c>
    </row>
    <row r="169" spans="2:21">
      <c r="B169" s="102" t="s">
        <v>216</v>
      </c>
      <c r="C169" s="102" t="s">
        <v>325</v>
      </c>
      <c r="D169" s="102">
        <v>0</v>
      </c>
      <c r="E169" s="108">
        <v>0</v>
      </c>
      <c r="F169" s="102">
        <v>0</v>
      </c>
      <c r="G169" s="102">
        <v>0</v>
      </c>
      <c r="H169" s="108">
        <v>0</v>
      </c>
      <c r="I169" s="108">
        <v>0</v>
      </c>
      <c r="J169" s="108">
        <v>0</v>
      </c>
      <c r="K169" s="108">
        <v>0</v>
      </c>
      <c r="L169" s="108">
        <v>0</v>
      </c>
      <c r="M169" s="108">
        <v>0</v>
      </c>
      <c r="N169" s="102">
        <v>0</v>
      </c>
      <c r="O169" s="108">
        <v>0</v>
      </c>
      <c r="P169" s="108">
        <v>0</v>
      </c>
      <c r="Q169" s="108">
        <v>0</v>
      </c>
      <c r="R169" s="108">
        <v>0</v>
      </c>
      <c r="S169" s="108">
        <v>0</v>
      </c>
      <c r="T169" s="108">
        <v>0</v>
      </c>
      <c r="U169" s="108">
        <v>0</v>
      </c>
    </row>
    <row r="170" spans="2:21">
      <c r="B170" s="106" t="s">
        <v>218</v>
      </c>
      <c r="C170" s="106" t="s">
        <v>526</v>
      </c>
      <c r="D170" s="107">
        <f t="shared" ref="D170:N170" si="188">D168+D169</f>
        <v>-1756</v>
      </c>
      <c r="E170" s="107">
        <f t="shared" si="188"/>
        <v>-2234</v>
      </c>
      <c r="F170" s="107">
        <f t="shared" si="188"/>
        <v>-3266</v>
      </c>
      <c r="G170" s="107">
        <f t="shared" si="188"/>
        <v>-6251</v>
      </c>
      <c r="H170" s="107">
        <f t="shared" si="188"/>
        <v>-1644</v>
      </c>
      <c r="I170" s="107">
        <f t="shared" si="188"/>
        <v>-1749</v>
      </c>
      <c r="J170" s="107">
        <f t="shared" si="188"/>
        <v>-1756</v>
      </c>
      <c r="K170" s="107">
        <f t="shared" si="188"/>
        <v>-5946</v>
      </c>
      <c r="L170" s="107">
        <f t="shared" si="188"/>
        <v>1307</v>
      </c>
      <c r="M170" s="107">
        <f t="shared" si="188"/>
        <v>-4190</v>
      </c>
      <c r="N170" s="107">
        <f t="shared" si="188"/>
        <v>-5992</v>
      </c>
      <c r="O170" s="107">
        <f t="shared" ref="O170:T170" si="189">O168+O169</f>
        <v>-28454</v>
      </c>
      <c r="P170" s="107">
        <f t="shared" si="189"/>
        <v>-477</v>
      </c>
      <c r="Q170" s="107">
        <f t="shared" si="189"/>
        <v>-1876</v>
      </c>
      <c r="R170" s="107">
        <f t="shared" si="189"/>
        <v>-3206</v>
      </c>
      <c r="S170" s="107">
        <f t="shared" si="189"/>
        <v>-5535</v>
      </c>
      <c r="T170" s="107">
        <f t="shared" si="189"/>
        <v>0</v>
      </c>
      <c r="U170" s="107">
        <f t="shared" ref="U170" si="190">U168+U169</f>
        <v>-9322</v>
      </c>
    </row>
    <row r="171" spans="2:21">
      <c r="B171" s="102" t="s">
        <v>219</v>
      </c>
      <c r="C171" s="102" t="s">
        <v>10</v>
      </c>
      <c r="D171" s="108">
        <v>-56653</v>
      </c>
      <c r="E171" s="108">
        <v>-136537</v>
      </c>
      <c r="F171" s="108">
        <v>-204678</v>
      </c>
      <c r="G171" s="108">
        <v>-274918</v>
      </c>
      <c r="H171" s="108">
        <v>-81421</v>
      </c>
      <c r="I171" s="108">
        <v>-143377</v>
      </c>
      <c r="J171" s="108">
        <v>-200049</v>
      </c>
      <c r="K171" s="108">
        <v>-241391</v>
      </c>
      <c r="L171" s="108">
        <v>-47504</v>
      </c>
      <c r="M171" s="108">
        <v>14664</v>
      </c>
      <c r="N171" s="108">
        <v>-33071</v>
      </c>
      <c r="O171" s="108">
        <v>-104783</v>
      </c>
      <c r="P171" s="108">
        <v>-62750</v>
      </c>
      <c r="Q171" s="108">
        <v>-128265</v>
      </c>
      <c r="R171" s="108">
        <v>-191178</v>
      </c>
      <c r="S171" s="108">
        <v>-297286</v>
      </c>
      <c r="T171" s="108">
        <v>-104214</v>
      </c>
      <c r="U171" s="108">
        <v>-189881</v>
      </c>
    </row>
    <row r="172" spans="2:21">
      <c r="B172" s="106" t="s">
        <v>530</v>
      </c>
      <c r="C172" s="106" t="s">
        <v>527</v>
      </c>
      <c r="D172" s="107">
        <f t="shared" ref="D172:N172" si="191">D170+D171</f>
        <v>-58409</v>
      </c>
      <c r="E172" s="107">
        <f t="shared" si="191"/>
        <v>-138771</v>
      </c>
      <c r="F172" s="107">
        <f t="shared" si="191"/>
        <v>-207944</v>
      </c>
      <c r="G172" s="107">
        <f t="shared" si="191"/>
        <v>-281169</v>
      </c>
      <c r="H172" s="107">
        <f t="shared" si="191"/>
        <v>-83065</v>
      </c>
      <c r="I172" s="107">
        <f t="shared" si="191"/>
        <v>-145126</v>
      </c>
      <c r="J172" s="107">
        <f t="shared" si="191"/>
        <v>-201805</v>
      </c>
      <c r="K172" s="107">
        <f t="shared" si="191"/>
        <v>-247337</v>
      </c>
      <c r="L172" s="107">
        <f t="shared" si="191"/>
        <v>-46197</v>
      </c>
      <c r="M172" s="107">
        <f t="shared" si="191"/>
        <v>10474</v>
      </c>
      <c r="N172" s="107">
        <f t="shared" si="191"/>
        <v>-39063</v>
      </c>
      <c r="O172" s="107">
        <f t="shared" ref="O172:T172" si="192">O170+O171</f>
        <v>-133237</v>
      </c>
      <c r="P172" s="107">
        <f t="shared" si="192"/>
        <v>-63227</v>
      </c>
      <c r="Q172" s="107">
        <f t="shared" si="192"/>
        <v>-130141</v>
      </c>
      <c r="R172" s="107">
        <f t="shared" si="192"/>
        <v>-194384</v>
      </c>
      <c r="S172" s="107">
        <f t="shared" si="192"/>
        <v>-302821</v>
      </c>
      <c r="T172" s="107">
        <f t="shared" si="192"/>
        <v>-104214</v>
      </c>
      <c r="U172" s="107">
        <f t="shared" ref="U172" si="193">U170+U171</f>
        <v>-199203</v>
      </c>
    </row>
    <row r="173" spans="2:21">
      <c r="B173" s="102" t="s">
        <v>500</v>
      </c>
      <c r="C173" s="102" t="s">
        <v>331</v>
      </c>
      <c r="D173" s="102">
        <v>0</v>
      </c>
      <c r="E173" s="108">
        <v>0</v>
      </c>
      <c r="F173" s="102">
        <v>0</v>
      </c>
      <c r="G173" s="102">
        <v>0</v>
      </c>
      <c r="H173" s="108">
        <v>0</v>
      </c>
      <c r="I173" s="108">
        <v>0</v>
      </c>
      <c r="J173" s="102">
        <v>0</v>
      </c>
      <c r="M173" s="108">
        <v>-3052</v>
      </c>
      <c r="N173" s="108">
        <v>-11927</v>
      </c>
      <c r="Q173" s="108"/>
      <c r="R173" s="108"/>
      <c r="S173" s="108"/>
      <c r="U173" s="108"/>
    </row>
    <row r="174" spans="2:21">
      <c r="B174" s="106" t="s">
        <v>499</v>
      </c>
      <c r="C174" s="106" t="s">
        <v>374</v>
      </c>
      <c r="D174" s="107">
        <f t="shared" ref="D174:R174" si="194">D172+D173</f>
        <v>-58409</v>
      </c>
      <c r="E174" s="107">
        <f t="shared" si="194"/>
        <v>-138771</v>
      </c>
      <c r="F174" s="107">
        <f t="shared" si="194"/>
        <v>-207944</v>
      </c>
      <c r="G174" s="107">
        <f t="shared" si="194"/>
        <v>-281169</v>
      </c>
      <c r="H174" s="107">
        <f t="shared" si="194"/>
        <v>-83065</v>
      </c>
      <c r="I174" s="107">
        <f t="shared" si="194"/>
        <v>-145126</v>
      </c>
      <c r="J174" s="107">
        <f t="shared" si="194"/>
        <v>-201805</v>
      </c>
      <c r="K174" s="107">
        <f t="shared" si="194"/>
        <v>-247337</v>
      </c>
      <c r="L174" s="107">
        <f t="shared" si="194"/>
        <v>-46197</v>
      </c>
      <c r="M174" s="107">
        <f t="shared" si="194"/>
        <v>7422</v>
      </c>
      <c r="N174" s="107">
        <f t="shared" si="194"/>
        <v>-50990</v>
      </c>
      <c r="O174" s="107">
        <f t="shared" si="194"/>
        <v>-133237</v>
      </c>
      <c r="P174" s="107">
        <f t="shared" si="194"/>
        <v>-63227</v>
      </c>
      <c r="Q174" s="107">
        <f t="shared" si="194"/>
        <v>-130141</v>
      </c>
      <c r="R174" s="107">
        <f t="shared" si="194"/>
        <v>-194384</v>
      </c>
      <c r="S174" s="107">
        <f>S172+S173</f>
        <v>-302821</v>
      </c>
      <c r="T174" s="107">
        <f t="shared" ref="T174:U174" si="195">T172+T173</f>
        <v>-104214</v>
      </c>
      <c r="U174" s="107">
        <f t="shared" si="195"/>
        <v>-199203</v>
      </c>
    </row>
    <row r="175" spans="2:21">
      <c r="B175" s="102" t="s">
        <v>375</v>
      </c>
      <c r="C175" s="102" t="s">
        <v>135</v>
      </c>
      <c r="D175" s="102">
        <v>0</v>
      </c>
      <c r="E175" s="108">
        <v>0</v>
      </c>
      <c r="F175" s="102">
        <v>0</v>
      </c>
      <c r="G175" s="102">
        <v>0</v>
      </c>
      <c r="H175" s="108">
        <v>0</v>
      </c>
      <c r="I175" s="108">
        <v>0</v>
      </c>
      <c r="J175" s="102">
        <v>0</v>
      </c>
      <c r="K175" s="102">
        <v>0</v>
      </c>
      <c r="L175" s="102">
        <v>0</v>
      </c>
      <c r="M175" s="108">
        <v>0</v>
      </c>
      <c r="N175" s="102">
        <v>0</v>
      </c>
      <c r="O175" s="102">
        <v>0</v>
      </c>
      <c r="P175" s="102">
        <v>0</v>
      </c>
      <c r="Q175" s="108">
        <v>0</v>
      </c>
      <c r="R175" s="108">
        <v>0</v>
      </c>
      <c r="S175" s="108">
        <v>0</v>
      </c>
      <c r="T175" s="102">
        <v>0</v>
      </c>
      <c r="U175" s="108">
        <v>0</v>
      </c>
    </row>
    <row r="176" spans="2:21">
      <c r="B176" s="102" t="s">
        <v>376</v>
      </c>
      <c r="C176" s="102" t="s">
        <v>37</v>
      </c>
      <c r="D176" s="108">
        <v>911762</v>
      </c>
      <c r="E176" s="108">
        <v>899622</v>
      </c>
      <c r="F176" s="108">
        <v>959163</v>
      </c>
      <c r="G176" s="108">
        <v>1032749</v>
      </c>
      <c r="H176" s="108">
        <v>1059503</v>
      </c>
      <c r="I176" s="108">
        <v>1104150</v>
      </c>
      <c r="J176" s="108">
        <v>1118607</v>
      </c>
      <c r="K176" s="108">
        <v>1169853</v>
      </c>
      <c r="L176" s="108">
        <v>1144752</v>
      </c>
      <c r="M176" s="108">
        <v>1363195</v>
      </c>
      <c r="N176" s="108">
        <v>1348182</v>
      </c>
      <c r="O176" s="108">
        <v>1218282</v>
      </c>
      <c r="P176" s="108">
        <v>1232264</v>
      </c>
      <c r="Q176" s="108">
        <v>1241630</v>
      </c>
      <c r="R176" s="108">
        <v>1176257</v>
      </c>
      <c r="S176" s="108">
        <v>1302329</v>
      </c>
      <c r="T176" s="108">
        <v>1410983</v>
      </c>
      <c r="U176" s="108">
        <v>1523556</v>
      </c>
    </row>
    <row r="177" spans="2:21">
      <c r="B177" s="102" t="s">
        <v>377</v>
      </c>
      <c r="C177" s="102" t="s">
        <v>378</v>
      </c>
      <c r="D177" s="108">
        <v>233317</v>
      </c>
      <c r="E177" s="108">
        <v>147337</v>
      </c>
      <c r="F177" s="108">
        <v>181506</v>
      </c>
      <c r="G177" s="108">
        <v>267861</v>
      </c>
      <c r="H177" s="108">
        <v>106986</v>
      </c>
      <c r="I177" s="108">
        <v>70301</v>
      </c>
      <c r="J177" s="108">
        <v>75340</v>
      </c>
      <c r="K177" s="108">
        <v>94905</v>
      </c>
      <c r="L177" s="108">
        <v>10167</v>
      </c>
      <c r="M177" s="108">
        <v>165755</v>
      </c>
      <c r="N177" s="108">
        <v>139515</v>
      </c>
      <c r="O177" s="108">
        <v>6685</v>
      </c>
      <c r="P177" s="108">
        <v>3091</v>
      </c>
      <c r="Q177" s="108">
        <v>3459</v>
      </c>
      <c r="R177" s="108">
        <v>17600</v>
      </c>
      <c r="S177" s="108">
        <v>36560</v>
      </c>
      <c r="T177" s="108">
        <v>71751</v>
      </c>
      <c r="U177" s="108">
        <v>127565</v>
      </c>
    </row>
    <row r="178" spans="2:21">
      <c r="Q178" s="108"/>
      <c r="R178" s="108"/>
      <c r="S178" s="108"/>
      <c r="U178" s="108"/>
    </row>
    <row r="179" spans="2:21">
      <c r="B179" s="104" t="s">
        <v>314</v>
      </c>
      <c r="C179" s="104" t="s">
        <v>387</v>
      </c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9"/>
      <c r="R179" s="109"/>
      <c r="S179" s="109"/>
      <c r="T179" s="105"/>
      <c r="U179" s="109"/>
    </row>
    <row r="180" spans="2:21">
      <c r="B180" s="106" t="s">
        <v>352</v>
      </c>
      <c r="C180" s="106" t="s">
        <v>353</v>
      </c>
      <c r="D180" s="107">
        <f t="shared" ref="D180:O180" si="196">D181+D182+D183</f>
        <v>737652</v>
      </c>
      <c r="E180" s="107">
        <f t="shared" si="196"/>
        <v>1500940</v>
      </c>
      <c r="F180" s="107">
        <f t="shared" si="196"/>
        <v>2283636</v>
      </c>
      <c r="G180" s="107">
        <f t="shared" si="196"/>
        <v>3084524</v>
      </c>
      <c r="H180" s="107">
        <f t="shared" si="196"/>
        <v>803807</v>
      </c>
      <c r="I180" s="107">
        <f t="shared" si="196"/>
        <v>1633661</v>
      </c>
      <c r="J180" s="107">
        <f t="shared" si="196"/>
        <v>2436672</v>
      </c>
      <c r="K180" s="107">
        <f t="shared" si="196"/>
        <v>3184344</v>
      </c>
      <c r="L180" s="107">
        <f t="shared" si="196"/>
        <v>776884</v>
      </c>
      <c r="M180" s="107">
        <f t="shared" si="196"/>
        <v>1498865</v>
      </c>
      <c r="N180" s="107">
        <f t="shared" si="196"/>
        <v>2181980</v>
      </c>
      <c r="O180" s="107">
        <f t="shared" si="196"/>
        <v>2848726</v>
      </c>
      <c r="P180" s="107">
        <f t="shared" ref="P180:U180" si="197">P181+P182+P183</f>
        <v>670178</v>
      </c>
      <c r="Q180" s="107">
        <f t="shared" si="197"/>
        <v>1336837</v>
      </c>
      <c r="R180" s="107">
        <f t="shared" si="197"/>
        <v>2040357</v>
      </c>
      <c r="S180" s="107">
        <f t="shared" si="197"/>
        <v>2798234</v>
      </c>
      <c r="T180" s="107">
        <f t="shared" si="197"/>
        <v>862351</v>
      </c>
      <c r="U180" s="107">
        <f t="shared" si="197"/>
        <v>1834112</v>
      </c>
    </row>
    <row r="181" spans="2:21">
      <c r="B181" s="102" t="s">
        <v>354</v>
      </c>
      <c r="C181" s="102" t="s">
        <v>355</v>
      </c>
      <c r="D181" s="108">
        <f t="shared" ref="D181:S181" si="198">D111+D146</f>
        <v>912897</v>
      </c>
      <c r="E181" s="108">
        <f t="shared" si="198"/>
        <v>1852496</v>
      </c>
      <c r="F181" s="108">
        <f t="shared" si="198"/>
        <v>2810476</v>
      </c>
      <c r="G181" s="108">
        <f t="shared" si="198"/>
        <v>3805457</v>
      </c>
      <c r="H181" s="108">
        <f t="shared" si="198"/>
        <v>986612</v>
      </c>
      <c r="I181" s="108">
        <f t="shared" si="198"/>
        <v>1998196</v>
      </c>
      <c r="J181" s="108">
        <f t="shared" si="198"/>
        <v>2983371</v>
      </c>
      <c r="K181" s="108">
        <f t="shared" si="198"/>
        <v>3908665</v>
      </c>
      <c r="L181" s="108">
        <f t="shared" si="198"/>
        <v>937951</v>
      </c>
      <c r="M181" s="108">
        <f t="shared" si="198"/>
        <v>1756968</v>
      </c>
      <c r="N181" s="108">
        <f t="shared" si="198"/>
        <v>2483553</v>
      </c>
      <c r="O181" s="108">
        <f t="shared" si="198"/>
        <v>3159045</v>
      </c>
      <c r="P181" s="108">
        <f t="shared" si="198"/>
        <v>682536</v>
      </c>
      <c r="Q181" s="108">
        <f t="shared" si="198"/>
        <v>1351668</v>
      </c>
      <c r="R181" s="108">
        <f t="shared" si="198"/>
        <v>2049239</v>
      </c>
      <c r="S181" s="108">
        <f t="shared" si="198"/>
        <v>2837304</v>
      </c>
      <c r="T181" s="108">
        <f t="shared" ref="T181:U181" si="199">T111+T146</f>
        <v>1023103</v>
      </c>
      <c r="U181" s="108">
        <f t="shared" si="199"/>
        <v>2362609</v>
      </c>
    </row>
    <row r="182" spans="2:21">
      <c r="B182" s="102" t="s">
        <v>356</v>
      </c>
      <c r="C182" s="102" t="s">
        <v>357</v>
      </c>
      <c r="D182" s="108">
        <f t="shared" ref="D182:S182" si="200">D112+D147</f>
        <v>35078</v>
      </c>
      <c r="E182" s="108">
        <f t="shared" si="200"/>
        <v>87253</v>
      </c>
      <c r="F182" s="108">
        <f t="shared" si="200"/>
        <v>125716</v>
      </c>
      <c r="G182" s="108">
        <f t="shared" si="200"/>
        <v>150915</v>
      </c>
      <c r="H182" s="108">
        <f t="shared" si="200"/>
        <v>33474</v>
      </c>
      <c r="I182" s="108">
        <f t="shared" si="200"/>
        <v>68916</v>
      </c>
      <c r="J182" s="108">
        <f t="shared" si="200"/>
        <v>113080</v>
      </c>
      <c r="K182" s="108">
        <f t="shared" si="200"/>
        <v>153525</v>
      </c>
      <c r="L182" s="108">
        <f t="shared" si="200"/>
        <v>22486</v>
      </c>
      <c r="M182" s="108">
        <f t="shared" si="200"/>
        <v>60790</v>
      </c>
      <c r="N182" s="108">
        <f t="shared" si="200"/>
        <v>115114</v>
      </c>
      <c r="O182" s="108">
        <f t="shared" si="200"/>
        <v>173828</v>
      </c>
      <c r="P182" s="108">
        <f t="shared" si="200"/>
        <v>62130</v>
      </c>
      <c r="Q182" s="108">
        <f t="shared" si="200"/>
        <v>110917</v>
      </c>
      <c r="R182" s="108">
        <f t="shared" si="200"/>
        <v>163361</v>
      </c>
      <c r="S182" s="108">
        <f t="shared" si="200"/>
        <v>199338</v>
      </c>
      <c r="T182" s="108">
        <f t="shared" ref="T182:U182" si="201">T112+T147</f>
        <v>22660</v>
      </c>
      <c r="U182" s="108">
        <f t="shared" si="201"/>
        <v>32645</v>
      </c>
    </row>
    <row r="183" spans="2:21">
      <c r="B183" s="102" t="s">
        <v>358</v>
      </c>
      <c r="C183" s="102" t="s">
        <v>359</v>
      </c>
      <c r="D183" s="108">
        <f t="shared" ref="D183:S183" si="202">D113+D148</f>
        <v>-210323</v>
      </c>
      <c r="E183" s="108">
        <f t="shared" si="202"/>
        <v>-438809</v>
      </c>
      <c r="F183" s="108">
        <f t="shared" si="202"/>
        <v>-652556</v>
      </c>
      <c r="G183" s="108">
        <f t="shared" si="202"/>
        <v>-871848</v>
      </c>
      <c r="H183" s="108">
        <f t="shared" si="202"/>
        <v>-216279</v>
      </c>
      <c r="I183" s="108">
        <f t="shared" si="202"/>
        <v>-433451</v>
      </c>
      <c r="J183" s="108">
        <f t="shared" si="202"/>
        <v>-659779</v>
      </c>
      <c r="K183" s="108">
        <f t="shared" si="202"/>
        <v>-877846</v>
      </c>
      <c r="L183" s="108">
        <f t="shared" si="202"/>
        <v>-183553</v>
      </c>
      <c r="M183" s="108">
        <f t="shared" si="202"/>
        <v>-318893</v>
      </c>
      <c r="N183" s="108">
        <f t="shared" si="202"/>
        <v>-416687</v>
      </c>
      <c r="O183" s="108">
        <f t="shared" si="202"/>
        <v>-484147</v>
      </c>
      <c r="P183" s="108">
        <f t="shared" si="202"/>
        <v>-74488</v>
      </c>
      <c r="Q183" s="108">
        <f t="shared" si="202"/>
        <v>-125748</v>
      </c>
      <c r="R183" s="108">
        <f t="shared" si="202"/>
        <v>-172243</v>
      </c>
      <c r="S183" s="108">
        <f t="shared" si="202"/>
        <v>-238408</v>
      </c>
      <c r="T183" s="108">
        <f t="shared" ref="T183:U183" si="203">T113+T148</f>
        <v>-183412</v>
      </c>
      <c r="U183" s="108">
        <f t="shared" si="203"/>
        <v>-561142</v>
      </c>
    </row>
    <row r="184" spans="2:21">
      <c r="B184" s="106" t="s">
        <v>360</v>
      </c>
      <c r="C184" s="106" t="s">
        <v>361</v>
      </c>
      <c r="D184" s="107">
        <f t="shared" ref="D184:N184" si="204">D185+D186</f>
        <v>0</v>
      </c>
      <c r="E184" s="107">
        <f t="shared" si="204"/>
        <v>0</v>
      </c>
      <c r="F184" s="107">
        <f t="shared" si="204"/>
        <v>0</v>
      </c>
      <c r="G184" s="107">
        <f t="shared" si="204"/>
        <v>0</v>
      </c>
      <c r="H184" s="107">
        <f t="shared" si="204"/>
        <v>0</v>
      </c>
      <c r="I184" s="107">
        <f t="shared" si="204"/>
        <v>0</v>
      </c>
      <c r="J184" s="107">
        <f t="shared" si="204"/>
        <v>0</v>
      </c>
      <c r="K184" s="107">
        <f t="shared" si="204"/>
        <v>0</v>
      </c>
      <c r="L184" s="107">
        <f t="shared" si="204"/>
        <v>0</v>
      </c>
      <c r="M184" s="107">
        <f t="shared" si="204"/>
        <v>0</v>
      </c>
      <c r="N184" s="107">
        <f t="shared" si="204"/>
        <v>0</v>
      </c>
      <c r="O184" s="107">
        <f t="shared" ref="O184:T184" si="205">O185+O186</f>
        <v>0</v>
      </c>
      <c r="P184" s="107">
        <f t="shared" si="205"/>
        <v>0</v>
      </c>
      <c r="Q184" s="107">
        <f t="shared" si="205"/>
        <v>0</v>
      </c>
      <c r="R184" s="107">
        <f t="shared" si="205"/>
        <v>0</v>
      </c>
      <c r="S184" s="107">
        <f t="shared" si="205"/>
        <v>0</v>
      </c>
      <c r="T184" s="107">
        <f t="shared" si="205"/>
        <v>0</v>
      </c>
      <c r="U184" s="107">
        <f t="shared" ref="U184" si="206">U185+U186</f>
        <v>0</v>
      </c>
    </row>
    <row r="185" spans="2:21">
      <c r="B185" s="102" t="s">
        <v>362</v>
      </c>
      <c r="C185" s="102" t="s">
        <v>363</v>
      </c>
      <c r="D185" s="108">
        <f t="shared" ref="D185:S185" si="207">D115+D150</f>
        <v>829017</v>
      </c>
      <c r="E185" s="108">
        <f t="shared" si="207"/>
        <v>1684006</v>
      </c>
      <c r="F185" s="108">
        <f t="shared" si="207"/>
        <v>2559447</v>
      </c>
      <c r="G185" s="108">
        <f t="shared" si="207"/>
        <v>2706936</v>
      </c>
      <c r="H185" s="108">
        <f t="shared" si="207"/>
        <v>720828</v>
      </c>
      <c r="I185" s="108">
        <f t="shared" si="207"/>
        <v>1465118</v>
      </c>
      <c r="J185" s="108">
        <f t="shared" si="207"/>
        <v>2226580</v>
      </c>
      <c r="K185" s="108">
        <f t="shared" si="207"/>
        <v>3011710</v>
      </c>
      <c r="L185" s="108">
        <f t="shared" si="207"/>
        <v>736300</v>
      </c>
      <c r="M185" s="108">
        <f t="shared" si="207"/>
        <v>1180373</v>
      </c>
      <c r="N185" s="108">
        <f t="shared" si="207"/>
        <v>1520428</v>
      </c>
      <c r="O185" s="108">
        <f t="shared" si="207"/>
        <v>1833816</v>
      </c>
      <c r="P185" s="108">
        <f t="shared" si="207"/>
        <v>306553</v>
      </c>
      <c r="Q185" s="108">
        <f t="shared" si="207"/>
        <v>483212</v>
      </c>
      <c r="R185" s="108">
        <f t="shared" si="207"/>
        <v>725719</v>
      </c>
      <c r="S185" s="108">
        <f t="shared" si="207"/>
        <v>1197195</v>
      </c>
      <c r="T185" s="108">
        <f t="shared" ref="T185:U185" si="208">T115+T150</f>
        <v>864448</v>
      </c>
      <c r="U185" s="108">
        <f t="shared" si="208"/>
        <v>2365311</v>
      </c>
    </row>
    <row r="186" spans="2:21">
      <c r="B186" s="102" t="s">
        <v>364</v>
      </c>
      <c r="C186" s="102" t="s">
        <v>365</v>
      </c>
      <c r="D186" s="108">
        <f t="shared" ref="D186:S186" si="209">D116+D151</f>
        <v>-829017</v>
      </c>
      <c r="E186" s="108">
        <f t="shared" si="209"/>
        <v>-1684006</v>
      </c>
      <c r="F186" s="108">
        <f t="shared" si="209"/>
        <v>-2559447</v>
      </c>
      <c r="G186" s="108">
        <f t="shared" si="209"/>
        <v>-2706936</v>
      </c>
      <c r="H186" s="108">
        <f t="shared" si="209"/>
        <v>-720828</v>
      </c>
      <c r="I186" s="108">
        <f t="shared" si="209"/>
        <v>-1465118</v>
      </c>
      <c r="J186" s="108">
        <f t="shared" si="209"/>
        <v>-2226580</v>
      </c>
      <c r="K186" s="108">
        <f t="shared" si="209"/>
        <v>-3011710</v>
      </c>
      <c r="L186" s="108">
        <f t="shared" si="209"/>
        <v>-736300</v>
      </c>
      <c r="M186" s="108">
        <f t="shared" si="209"/>
        <v>-1180373</v>
      </c>
      <c r="N186" s="108">
        <f t="shared" si="209"/>
        <v>-1520428</v>
      </c>
      <c r="O186" s="108">
        <f t="shared" si="209"/>
        <v>-1833816</v>
      </c>
      <c r="P186" s="108">
        <f t="shared" si="209"/>
        <v>-306553</v>
      </c>
      <c r="Q186" s="108">
        <f t="shared" si="209"/>
        <v>-483212</v>
      </c>
      <c r="R186" s="108">
        <f t="shared" si="209"/>
        <v>-725719</v>
      </c>
      <c r="S186" s="108">
        <f t="shared" si="209"/>
        <v>-1197195</v>
      </c>
      <c r="T186" s="108">
        <f t="shared" ref="T186:U186" si="210">T116+T151</f>
        <v>-864448</v>
      </c>
      <c r="U186" s="108">
        <f t="shared" si="210"/>
        <v>-2365311</v>
      </c>
    </row>
    <row r="187" spans="2:21">
      <c r="B187" s="106" t="s">
        <v>204</v>
      </c>
      <c r="C187" s="106" t="s">
        <v>2</v>
      </c>
      <c r="D187" s="107">
        <f t="shared" ref="D187:N187" si="211">D180+D184</f>
        <v>737652</v>
      </c>
      <c r="E187" s="107">
        <f t="shared" si="211"/>
        <v>1500940</v>
      </c>
      <c r="F187" s="107">
        <f t="shared" si="211"/>
        <v>2283636</v>
      </c>
      <c r="G187" s="107">
        <f t="shared" si="211"/>
        <v>3084524</v>
      </c>
      <c r="H187" s="107">
        <f t="shared" si="211"/>
        <v>803807</v>
      </c>
      <c r="I187" s="107">
        <f t="shared" si="211"/>
        <v>1633661</v>
      </c>
      <c r="J187" s="107">
        <f t="shared" si="211"/>
        <v>2436672</v>
      </c>
      <c r="K187" s="107">
        <f t="shared" si="211"/>
        <v>3184344</v>
      </c>
      <c r="L187" s="107">
        <f t="shared" si="211"/>
        <v>776884</v>
      </c>
      <c r="M187" s="107">
        <f t="shared" si="211"/>
        <v>1498865</v>
      </c>
      <c r="N187" s="107">
        <f t="shared" si="211"/>
        <v>2181980</v>
      </c>
      <c r="O187" s="107">
        <f t="shared" ref="O187:T187" si="212">O180+O184</f>
        <v>2848726</v>
      </c>
      <c r="P187" s="107">
        <f t="shared" si="212"/>
        <v>670178</v>
      </c>
      <c r="Q187" s="107">
        <f t="shared" si="212"/>
        <v>1336837</v>
      </c>
      <c r="R187" s="107">
        <f t="shared" si="212"/>
        <v>2040357</v>
      </c>
      <c r="S187" s="107">
        <f t="shared" si="212"/>
        <v>2798234</v>
      </c>
      <c r="T187" s="107">
        <f t="shared" si="212"/>
        <v>862351</v>
      </c>
      <c r="U187" s="107">
        <f t="shared" ref="U187" si="213">U180+U184</f>
        <v>1834112</v>
      </c>
    </row>
    <row r="188" spans="2:21">
      <c r="B188" s="102" t="s">
        <v>205</v>
      </c>
      <c r="C188" s="102" t="s">
        <v>366</v>
      </c>
      <c r="D188" s="108">
        <f t="shared" ref="D188:S188" si="214">D118+D153</f>
        <v>264369</v>
      </c>
      <c r="E188" s="108">
        <f t="shared" si="214"/>
        <v>529392</v>
      </c>
      <c r="F188" s="108">
        <f t="shared" si="214"/>
        <v>812859</v>
      </c>
      <c r="G188" s="108">
        <f t="shared" si="214"/>
        <v>1099468</v>
      </c>
      <c r="H188" s="108">
        <f t="shared" si="214"/>
        <v>266948</v>
      </c>
      <c r="I188" s="108">
        <f t="shared" si="214"/>
        <v>549422</v>
      </c>
      <c r="J188" s="108">
        <f t="shared" si="214"/>
        <v>851631</v>
      </c>
      <c r="K188" s="108">
        <f t="shared" si="214"/>
        <v>1157052</v>
      </c>
      <c r="L188" s="108">
        <f t="shared" si="214"/>
        <v>269347</v>
      </c>
      <c r="M188" s="108">
        <f t="shared" si="214"/>
        <v>563597</v>
      </c>
      <c r="N188" s="108">
        <f t="shared" si="214"/>
        <v>893025</v>
      </c>
      <c r="O188" s="108">
        <f t="shared" si="214"/>
        <v>1215749</v>
      </c>
      <c r="P188" s="108">
        <f t="shared" si="214"/>
        <v>316398</v>
      </c>
      <c r="Q188" s="108">
        <f t="shared" si="214"/>
        <v>661598</v>
      </c>
      <c r="R188" s="108">
        <f t="shared" si="214"/>
        <v>1041963</v>
      </c>
      <c r="S188" s="108">
        <f t="shared" si="214"/>
        <v>1441513.98863</v>
      </c>
      <c r="T188" s="108">
        <f t="shared" ref="T188:U188" si="215">T118+T153</f>
        <v>371419</v>
      </c>
      <c r="U188" s="108">
        <f t="shared" si="215"/>
        <v>803835</v>
      </c>
    </row>
    <row r="189" spans="2:21">
      <c r="B189" s="102" t="s">
        <v>206</v>
      </c>
      <c r="C189" s="102" t="s">
        <v>367</v>
      </c>
      <c r="D189" s="108">
        <f t="shared" ref="D189:S189" si="216">D119+D154</f>
        <v>-87495</v>
      </c>
      <c r="E189" s="108">
        <f t="shared" si="216"/>
        <v>-181923</v>
      </c>
      <c r="F189" s="108">
        <f t="shared" si="216"/>
        <v>-286828</v>
      </c>
      <c r="G189" s="108">
        <f t="shared" si="216"/>
        <v>-389469</v>
      </c>
      <c r="H189" s="108">
        <f t="shared" si="216"/>
        <v>-97084</v>
      </c>
      <c r="I189" s="108">
        <f t="shared" si="216"/>
        <v>-224535</v>
      </c>
      <c r="J189" s="108">
        <f t="shared" si="216"/>
        <v>-356500</v>
      </c>
      <c r="K189" s="108">
        <f t="shared" si="216"/>
        <v>-498994</v>
      </c>
      <c r="L189" s="108">
        <f t="shared" si="216"/>
        <v>-134176</v>
      </c>
      <c r="M189" s="108">
        <f t="shared" si="216"/>
        <v>-273842</v>
      </c>
      <c r="N189" s="108">
        <f t="shared" si="216"/>
        <v>-434168</v>
      </c>
      <c r="O189" s="108">
        <f t="shared" si="216"/>
        <v>-579903</v>
      </c>
      <c r="P189" s="108">
        <f t="shared" si="216"/>
        <v>-138688</v>
      </c>
      <c r="Q189" s="108">
        <f t="shared" si="216"/>
        <v>-300510</v>
      </c>
      <c r="R189" s="108">
        <f t="shared" si="216"/>
        <v>-491287</v>
      </c>
      <c r="S189" s="108">
        <f t="shared" si="216"/>
        <v>-674766</v>
      </c>
      <c r="T189" s="108">
        <f t="shared" ref="T189:U189" si="217">T119+T154</f>
        <v>-180742</v>
      </c>
      <c r="U189" s="108">
        <f t="shared" si="217"/>
        <v>-392558</v>
      </c>
    </row>
    <row r="190" spans="2:21">
      <c r="B190" s="106" t="s">
        <v>207</v>
      </c>
      <c r="C190" s="106" t="s">
        <v>13</v>
      </c>
      <c r="D190" s="107">
        <f t="shared" ref="D190:N190" si="218">D188+D189</f>
        <v>176874</v>
      </c>
      <c r="E190" s="107">
        <f t="shared" si="218"/>
        <v>347469</v>
      </c>
      <c r="F190" s="107">
        <f t="shared" si="218"/>
        <v>526031</v>
      </c>
      <c r="G190" s="107">
        <f t="shared" si="218"/>
        <v>709999</v>
      </c>
      <c r="H190" s="107">
        <f t="shared" si="218"/>
        <v>169864</v>
      </c>
      <c r="I190" s="107">
        <f t="shared" si="218"/>
        <v>324887</v>
      </c>
      <c r="J190" s="107">
        <f t="shared" si="218"/>
        <v>495131</v>
      </c>
      <c r="K190" s="107">
        <f t="shared" si="218"/>
        <v>658058</v>
      </c>
      <c r="L190" s="107">
        <f t="shared" si="218"/>
        <v>135171</v>
      </c>
      <c r="M190" s="107">
        <f t="shared" si="218"/>
        <v>289755</v>
      </c>
      <c r="N190" s="107">
        <f t="shared" si="218"/>
        <v>458857</v>
      </c>
      <c r="O190" s="107">
        <f t="shared" ref="O190:T190" si="219">O188+O189</f>
        <v>635846</v>
      </c>
      <c r="P190" s="107">
        <f t="shared" si="219"/>
        <v>177710</v>
      </c>
      <c r="Q190" s="107">
        <f t="shared" si="219"/>
        <v>361088</v>
      </c>
      <c r="R190" s="107">
        <f t="shared" si="219"/>
        <v>550676</v>
      </c>
      <c r="S190" s="107">
        <f t="shared" si="219"/>
        <v>766747.98863000004</v>
      </c>
      <c r="T190" s="107">
        <f t="shared" si="219"/>
        <v>190677</v>
      </c>
      <c r="U190" s="107">
        <f t="shared" ref="U190" si="220">U188+U189</f>
        <v>411277</v>
      </c>
    </row>
    <row r="191" spans="2:21">
      <c r="B191" s="102" t="s">
        <v>208</v>
      </c>
      <c r="C191" s="102" t="s">
        <v>3</v>
      </c>
      <c r="D191" s="108">
        <f t="shared" ref="D191:S191" si="221">D121+D156</f>
        <v>0</v>
      </c>
      <c r="E191" s="108">
        <f t="shared" si="221"/>
        <v>94</v>
      </c>
      <c r="F191" s="108">
        <f t="shared" si="221"/>
        <v>143</v>
      </c>
      <c r="G191" s="108">
        <f t="shared" si="221"/>
        <v>275</v>
      </c>
      <c r="H191" s="108">
        <f t="shared" si="221"/>
        <v>0</v>
      </c>
      <c r="I191" s="108">
        <f t="shared" si="221"/>
        <v>173</v>
      </c>
      <c r="J191" s="108">
        <f t="shared" si="221"/>
        <v>257</v>
      </c>
      <c r="K191" s="108">
        <f t="shared" si="221"/>
        <v>344</v>
      </c>
      <c r="L191" s="108">
        <f t="shared" si="221"/>
        <v>114</v>
      </c>
      <c r="M191" s="108">
        <f t="shared" si="221"/>
        <v>221</v>
      </c>
      <c r="N191" s="108">
        <f t="shared" si="221"/>
        <v>594</v>
      </c>
      <c r="O191" s="108">
        <f t="shared" si="221"/>
        <v>700</v>
      </c>
      <c r="P191" s="108">
        <f t="shared" si="221"/>
        <v>106</v>
      </c>
      <c r="Q191" s="108">
        <f t="shared" si="221"/>
        <v>277</v>
      </c>
      <c r="R191" s="108">
        <f t="shared" si="221"/>
        <v>397</v>
      </c>
      <c r="S191" s="108">
        <f t="shared" si="221"/>
        <v>532</v>
      </c>
      <c r="T191" s="108">
        <f t="shared" ref="T191:U191" si="222">T121+T156</f>
        <v>139</v>
      </c>
      <c r="U191" s="108">
        <f t="shared" si="222"/>
        <v>291</v>
      </c>
    </row>
    <row r="192" spans="2:21">
      <c r="B192" s="102" t="s">
        <v>209</v>
      </c>
      <c r="C192" s="102" t="s">
        <v>18</v>
      </c>
      <c r="D192" s="108">
        <f t="shared" ref="D192:S192" si="223">D122+D157</f>
        <v>9990</v>
      </c>
      <c r="E192" s="108">
        <f t="shared" si="223"/>
        <v>53018</v>
      </c>
      <c r="F192" s="108">
        <f t="shared" si="223"/>
        <v>81730</v>
      </c>
      <c r="G192" s="108">
        <f t="shared" si="223"/>
        <v>97684</v>
      </c>
      <c r="H192" s="108">
        <f t="shared" si="223"/>
        <v>22686</v>
      </c>
      <c r="I192" s="108">
        <f t="shared" si="223"/>
        <v>33266</v>
      </c>
      <c r="J192" s="108">
        <f t="shared" si="223"/>
        <v>48129</v>
      </c>
      <c r="K192" s="108">
        <f t="shared" si="223"/>
        <v>102010</v>
      </c>
      <c r="L192" s="108">
        <f t="shared" si="223"/>
        <v>1339</v>
      </c>
      <c r="M192" s="108">
        <f t="shared" si="223"/>
        <v>16343</v>
      </c>
      <c r="N192" s="108">
        <f t="shared" si="223"/>
        <v>36086</v>
      </c>
      <c r="O192" s="108">
        <f t="shared" si="223"/>
        <v>79070</v>
      </c>
      <c r="P192" s="108">
        <f t="shared" si="223"/>
        <v>18731</v>
      </c>
      <c r="Q192" s="108">
        <f t="shared" si="223"/>
        <v>53169</v>
      </c>
      <c r="R192" s="108">
        <f t="shared" si="223"/>
        <v>81230</v>
      </c>
      <c r="S192" s="108">
        <f t="shared" si="223"/>
        <v>87149</v>
      </c>
      <c r="T192" s="108">
        <f t="shared" ref="T192:U192" si="224">T122+T157</f>
        <v>37795</v>
      </c>
      <c r="U192" s="108">
        <f t="shared" si="224"/>
        <v>33894</v>
      </c>
    </row>
    <row r="193" spans="2:21">
      <c r="B193" s="106" t="s">
        <v>210</v>
      </c>
      <c r="C193" s="106" t="s">
        <v>368</v>
      </c>
      <c r="D193" s="107">
        <f t="shared" ref="D193:N193" si="225">D194+D195</f>
        <v>11545</v>
      </c>
      <c r="E193" s="106">
        <f t="shared" si="225"/>
        <v>32794</v>
      </c>
      <c r="F193" s="107">
        <f t="shared" si="225"/>
        <v>40452</v>
      </c>
      <c r="G193" s="107">
        <f t="shared" si="225"/>
        <v>77829</v>
      </c>
      <c r="H193" s="107">
        <f t="shared" si="225"/>
        <v>17295</v>
      </c>
      <c r="I193" s="107">
        <f t="shared" si="225"/>
        <v>21758</v>
      </c>
      <c r="J193" s="107">
        <f t="shared" si="225"/>
        <v>29131</v>
      </c>
      <c r="K193" s="107">
        <f t="shared" si="225"/>
        <v>46236</v>
      </c>
      <c r="L193" s="107">
        <f t="shared" si="225"/>
        <v>29261</v>
      </c>
      <c r="M193" s="107">
        <f t="shared" si="225"/>
        <v>26618</v>
      </c>
      <c r="N193" s="107">
        <f t="shared" si="225"/>
        <v>36090</v>
      </c>
      <c r="O193" s="107">
        <f t="shared" ref="O193:T193" si="226">O194+O195</f>
        <v>84553</v>
      </c>
      <c r="P193" s="107">
        <f t="shared" si="226"/>
        <v>174</v>
      </c>
      <c r="Q193" s="107">
        <f t="shared" si="226"/>
        <v>2294</v>
      </c>
      <c r="R193" s="107">
        <f t="shared" si="226"/>
        <v>5793</v>
      </c>
      <c r="S193" s="107">
        <f t="shared" si="226"/>
        <v>5293</v>
      </c>
      <c r="T193" s="107">
        <f t="shared" si="226"/>
        <v>290</v>
      </c>
      <c r="U193" s="107">
        <f t="shared" ref="U193" si="227">U194+U195</f>
        <v>1484</v>
      </c>
    </row>
    <row r="194" spans="2:21">
      <c r="B194" s="102" t="s">
        <v>211</v>
      </c>
      <c r="C194" s="102" t="s">
        <v>369</v>
      </c>
      <c r="D194" s="108">
        <f t="shared" ref="D194:S194" si="228">D124+D159</f>
        <v>11185</v>
      </c>
      <c r="E194" s="108">
        <f t="shared" si="228"/>
        <v>32112</v>
      </c>
      <c r="F194" s="108">
        <f t="shared" si="228"/>
        <v>39432</v>
      </c>
      <c r="G194" s="108">
        <f t="shared" si="228"/>
        <v>76473</v>
      </c>
      <c r="H194" s="108">
        <f t="shared" si="228"/>
        <v>10423</v>
      </c>
      <c r="I194" s="108">
        <f t="shared" si="228"/>
        <v>14700</v>
      </c>
      <c r="J194" s="108">
        <f t="shared" si="228"/>
        <v>21700</v>
      </c>
      <c r="K194" s="108">
        <f t="shared" si="228"/>
        <v>38807</v>
      </c>
      <c r="L194" s="108">
        <f t="shared" si="228"/>
        <v>5547</v>
      </c>
      <c r="M194" s="108">
        <f t="shared" si="228"/>
        <v>2807</v>
      </c>
      <c r="N194" s="108">
        <f t="shared" si="228"/>
        <v>12216</v>
      </c>
      <c r="O194" s="108">
        <f t="shared" si="228"/>
        <v>60607</v>
      </c>
      <c r="P194" s="108">
        <f t="shared" si="228"/>
        <v>61</v>
      </c>
      <c r="Q194" s="108">
        <f t="shared" si="228"/>
        <v>318</v>
      </c>
      <c r="R194" s="108">
        <f t="shared" si="228"/>
        <v>3789</v>
      </c>
      <c r="S194" s="108">
        <f t="shared" si="228"/>
        <v>3246</v>
      </c>
      <c r="T194" s="108">
        <f t="shared" ref="T194:U194" si="229">T124+T159</f>
        <v>218</v>
      </c>
      <c r="U194" s="108">
        <f t="shared" si="229"/>
        <v>1212</v>
      </c>
    </row>
    <row r="195" spans="2:21">
      <c r="B195" s="102" t="s">
        <v>212</v>
      </c>
      <c r="C195" s="102" t="s">
        <v>15</v>
      </c>
      <c r="D195" s="108">
        <f t="shared" ref="D195:S195" si="230">D125+D160</f>
        <v>360</v>
      </c>
      <c r="E195" s="108">
        <f t="shared" si="230"/>
        <v>682</v>
      </c>
      <c r="F195" s="108">
        <f t="shared" si="230"/>
        <v>1020</v>
      </c>
      <c r="G195" s="108">
        <f t="shared" si="230"/>
        <v>1356</v>
      </c>
      <c r="H195" s="108">
        <f t="shared" si="230"/>
        <v>6872</v>
      </c>
      <c r="I195" s="108">
        <f t="shared" si="230"/>
        <v>7058</v>
      </c>
      <c r="J195" s="108">
        <f t="shared" si="230"/>
        <v>7431</v>
      </c>
      <c r="K195" s="108">
        <f t="shared" si="230"/>
        <v>7429</v>
      </c>
      <c r="L195" s="108">
        <f t="shared" si="230"/>
        <v>23714</v>
      </c>
      <c r="M195" s="108">
        <f t="shared" si="230"/>
        <v>23811</v>
      </c>
      <c r="N195" s="108">
        <f t="shared" si="230"/>
        <v>23874</v>
      </c>
      <c r="O195" s="108">
        <f t="shared" si="230"/>
        <v>23946</v>
      </c>
      <c r="P195" s="108">
        <f t="shared" si="230"/>
        <v>113</v>
      </c>
      <c r="Q195" s="108">
        <f t="shared" si="230"/>
        <v>1976</v>
      </c>
      <c r="R195" s="108">
        <f t="shared" si="230"/>
        <v>2004</v>
      </c>
      <c r="S195" s="108">
        <f t="shared" si="230"/>
        <v>2047</v>
      </c>
      <c r="T195" s="108">
        <f t="shared" ref="T195:U195" si="231">T125+T160</f>
        <v>72</v>
      </c>
      <c r="U195" s="108">
        <f t="shared" si="231"/>
        <v>272</v>
      </c>
    </row>
    <row r="196" spans="2:21">
      <c r="B196" s="102" t="s">
        <v>213</v>
      </c>
      <c r="C196" s="102" t="s">
        <v>7</v>
      </c>
      <c r="D196" s="108">
        <f t="shared" ref="D196:S196" si="232">D126+D161</f>
        <v>48955</v>
      </c>
      <c r="E196" s="108">
        <f t="shared" si="232"/>
        <v>74673</v>
      </c>
      <c r="F196" s="108">
        <f t="shared" si="232"/>
        <v>94560</v>
      </c>
      <c r="G196" s="108">
        <f t="shared" si="232"/>
        <v>127045</v>
      </c>
      <c r="H196" s="108">
        <f t="shared" si="232"/>
        <v>33437</v>
      </c>
      <c r="I196" s="108">
        <f t="shared" si="232"/>
        <v>64220</v>
      </c>
      <c r="J196" s="108">
        <f t="shared" si="232"/>
        <v>100627</v>
      </c>
      <c r="K196" s="108">
        <f t="shared" si="232"/>
        <v>143466</v>
      </c>
      <c r="L196" s="108">
        <f t="shared" si="232"/>
        <v>41615</v>
      </c>
      <c r="M196" s="108">
        <f t="shared" si="232"/>
        <v>68216</v>
      </c>
      <c r="N196" s="108">
        <f t="shared" si="232"/>
        <v>99654</v>
      </c>
      <c r="O196" s="108">
        <f t="shared" si="232"/>
        <v>137039</v>
      </c>
      <c r="P196" s="108">
        <f t="shared" si="232"/>
        <v>47087</v>
      </c>
      <c r="Q196" s="108">
        <f t="shared" si="232"/>
        <v>77253</v>
      </c>
      <c r="R196" s="108">
        <f t="shared" si="232"/>
        <v>112145</v>
      </c>
      <c r="S196" s="108">
        <f t="shared" si="232"/>
        <v>147487</v>
      </c>
      <c r="T196" s="108">
        <f t="shared" ref="T196:U196" si="233">T126+T161</f>
        <v>31536</v>
      </c>
      <c r="U196" s="108">
        <f t="shared" si="233"/>
        <v>61992</v>
      </c>
    </row>
    <row r="197" spans="2:21">
      <c r="B197" s="102" t="s">
        <v>370</v>
      </c>
      <c r="C197" s="102" t="s">
        <v>8</v>
      </c>
      <c r="D197" s="108">
        <f t="shared" ref="D197:S197" si="234">D127+D162</f>
        <v>-20297</v>
      </c>
      <c r="E197" s="108">
        <f t="shared" si="234"/>
        <v>-46181</v>
      </c>
      <c r="F197" s="108">
        <f t="shared" si="234"/>
        <v>-82018</v>
      </c>
      <c r="G197" s="108">
        <f t="shared" si="234"/>
        <v>-141807</v>
      </c>
      <c r="H197" s="108">
        <f t="shared" si="234"/>
        <v>-20944</v>
      </c>
      <c r="I197" s="108">
        <f t="shared" si="234"/>
        <v>-48001</v>
      </c>
      <c r="J197" s="108">
        <f t="shared" si="234"/>
        <v>-124932</v>
      </c>
      <c r="K197" s="108">
        <f t="shared" si="234"/>
        <v>-345605</v>
      </c>
      <c r="L197" s="108">
        <f t="shared" si="234"/>
        <v>-34194</v>
      </c>
      <c r="M197" s="108">
        <f t="shared" si="234"/>
        <v>-158648</v>
      </c>
      <c r="N197" s="108">
        <f t="shared" si="234"/>
        <v>-179221</v>
      </c>
      <c r="O197" s="108">
        <f t="shared" si="234"/>
        <v>-240446</v>
      </c>
      <c r="P197" s="108">
        <f t="shared" si="234"/>
        <v>-22624</v>
      </c>
      <c r="Q197" s="108">
        <f t="shared" si="234"/>
        <v>-46867</v>
      </c>
      <c r="R197" s="108">
        <f t="shared" si="234"/>
        <v>-88290</v>
      </c>
      <c r="S197" s="108">
        <f t="shared" si="234"/>
        <v>-168322</v>
      </c>
      <c r="T197" s="108">
        <f t="shared" ref="T197:U197" si="235">T127+T162</f>
        <v>-29621</v>
      </c>
      <c r="U197" s="108">
        <f t="shared" si="235"/>
        <v>-50091</v>
      </c>
    </row>
    <row r="198" spans="2:21">
      <c r="B198" s="106" t="s">
        <v>371</v>
      </c>
      <c r="C198" s="106" t="s">
        <v>9</v>
      </c>
      <c r="D198" s="107">
        <f t="shared" ref="D198:N198" si="236">D196+D197</f>
        <v>28658</v>
      </c>
      <c r="E198" s="107">
        <f t="shared" si="236"/>
        <v>28492</v>
      </c>
      <c r="F198" s="107">
        <f t="shared" si="236"/>
        <v>12542</v>
      </c>
      <c r="G198" s="107">
        <f t="shared" si="236"/>
        <v>-14762</v>
      </c>
      <c r="H198" s="107">
        <f t="shared" si="236"/>
        <v>12493</v>
      </c>
      <c r="I198" s="107">
        <f t="shared" si="236"/>
        <v>16219</v>
      </c>
      <c r="J198" s="107">
        <f t="shared" si="236"/>
        <v>-24305</v>
      </c>
      <c r="K198" s="107">
        <f t="shared" si="236"/>
        <v>-202139</v>
      </c>
      <c r="L198" s="107">
        <f t="shared" si="236"/>
        <v>7421</v>
      </c>
      <c r="M198" s="107">
        <f t="shared" si="236"/>
        <v>-90432</v>
      </c>
      <c r="N198" s="107">
        <f t="shared" si="236"/>
        <v>-79567</v>
      </c>
      <c r="O198" s="107">
        <f t="shared" ref="O198:T198" si="237">O196+O197</f>
        <v>-103407</v>
      </c>
      <c r="P198" s="107">
        <f t="shared" si="237"/>
        <v>24463</v>
      </c>
      <c r="Q198" s="107">
        <f t="shared" si="237"/>
        <v>30386</v>
      </c>
      <c r="R198" s="107">
        <f t="shared" si="237"/>
        <v>23855</v>
      </c>
      <c r="S198" s="107">
        <f t="shared" si="237"/>
        <v>-20835</v>
      </c>
      <c r="T198" s="107">
        <f t="shared" si="237"/>
        <v>1915</v>
      </c>
      <c r="U198" s="107">
        <f t="shared" ref="U198" si="238">U196+U197</f>
        <v>11901</v>
      </c>
    </row>
    <row r="199" spans="2:21">
      <c r="B199" s="128" t="s">
        <v>528</v>
      </c>
      <c r="C199" s="106" t="s">
        <v>524</v>
      </c>
      <c r="D199" s="107">
        <f>D187+D190+D193+D198+D192</f>
        <v>964719</v>
      </c>
      <c r="E199" s="107">
        <f t="shared" ref="E199:O199" si="239">E187+E190+E193+E198+E192+E191</f>
        <v>1962807</v>
      </c>
      <c r="F199" s="107">
        <f t="shared" si="239"/>
        <v>2944534</v>
      </c>
      <c r="G199" s="107">
        <f t="shared" si="239"/>
        <v>3955549</v>
      </c>
      <c r="H199" s="107">
        <f t="shared" si="239"/>
        <v>1026145</v>
      </c>
      <c r="I199" s="107">
        <f t="shared" si="239"/>
        <v>2029964</v>
      </c>
      <c r="J199" s="107">
        <f t="shared" si="239"/>
        <v>2985015</v>
      </c>
      <c r="K199" s="107">
        <f t="shared" si="239"/>
        <v>3788853</v>
      </c>
      <c r="L199" s="107">
        <f t="shared" si="239"/>
        <v>950190</v>
      </c>
      <c r="M199" s="107">
        <f t="shared" si="239"/>
        <v>1741370</v>
      </c>
      <c r="N199" s="107">
        <f t="shared" si="239"/>
        <v>2634040</v>
      </c>
      <c r="O199" s="107">
        <f t="shared" si="239"/>
        <v>3545488</v>
      </c>
      <c r="P199" s="107">
        <f t="shared" ref="P199:U199" si="240">P187+P190+P193+P198+P192+P191</f>
        <v>891362</v>
      </c>
      <c r="Q199" s="107">
        <f t="shared" si="240"/>
        <v>1784051</v>
      </c>
      <c r="R199" s="107">
        <f t="shared" si="240"/>
        <v>2702308</v>
      </c>
      <c r="S199" s="107">
        <f t="shared" si="240"/>
        <v>3637120.98863</v>
      </c>
      <c r="T199" s="107">
        <f t="shared" si="240"/>
        <v>1093167</v>
      </c>
      <c r="U199" s="107">
        <f t="shared" si="240"/>
        <v>2292959</v>
      </c>
    </row>
    <row r="200" spans="2:21">
      <c r="B200" s="102" t="s">
        <v>346</v>
      </c>
      <c r="C200" s="102" t="s">
        <v>372</v>
      </c>
      <c r="D200" s="108">
        <f t="shared" ref="D200:S200" si="241">D130+D165</f>
        <v>-242992</v>
      </c>
      <c r="E200" s="108">
        <f t="shared" si="241"/>
        <v>-480589</v>
      </c>
      <c r="F200" s="108">
        <f t="shared" si="241"/>
        <v>-752747</v>
      </c>
      <c r="G200" s="108">
        <f t="shared" si="241"/>
        <v>-1047818</v>
      </c>
      <c r="H200" s="108">
        <f t="shared" si="241"/>
        <v>-272962</v>
      </c>
      <c r="I200" s="108">
        <f t="shared" si="241"/>
        <v>-775502</v>
      </c>
      <c r="J200" s="108">
        <f t="shared" si="241"/>
        <v>-1100283</v>
      </c>
      <c r="K200" s="108">
        <f t="shared" si="241"/>
        <v>-1437158</v>
      </c>
      <c r="L200" s="108">
        <f t="shared" si="241"/>
        <v>-296153</v>
      </c>
      <c r="M200" s="108">
        <f t="shared" si="241"/>
        <v>-1211299</v>
      </c>
      <c r="N200" s="108">
        <f t="shared" si="241"/>
        <v>-1500642</v>
      </c>
      <c r="O200" s="108">
        <f t="shared" si="241"/>
        <v>-1733471</v>
      </c>
      <c r="P200" s="108">
        <f t="shared" si="241"/>
        <v>-243485</v>
      </c>
      <c r="Q200" s="108">
        <f t="shared" si="241"/>
        <v>-508465</v>
      </c>
      <c r="R200" s="108">
        <f t="shared" si="241"/>
        <v>-760194</v>
      </c>
      <c r="S200" s="108">
        <f t="shared" si="241"/>
        <v>-1006663</v>
      </c>
      <c r="T200" s="108">
        <f t="shared" ref="T200:U200" si="242">T130+T165</f>
        <v>-208556</v>
      </c>
      <c r="U200" s="108">
        <f t="shared" si="242"/>
        <v>-438493</v>
      </c>
    </row>
    <row r="201" spans="2:21">
      <c r="B201" s="102" t="s">
        <v>373</v>
      </c>
      <c r="C201" s="102" t="s">
        <v>347</v>
      </c>
      <c r="D201" s="108">
        <f t="shared" ref="D201:S201" si="243">D131+D166</f>
        <v>-1756</v>
      </c>
      <c r="E201" s="108">
        <f t="shared" si="243"/>
        <v>-2234</v>
      </c>
      <c r="F201" s="108">
        <f t="shared" si="243"/>
        <v>-3266</v>
      </c>
      <c r="G201" s="108">
        <f t="shared" si="243"/>
        <v>-6251</v>
      </c>
      <c r="H201" s="108">
        <f t="shared" si="243"/>
        <v>-1644</v>
      </c>
      <c r="I201" s="108">
        <f t="shared" si="243"/>
        <v>-1749</v>
      </c>
      <c r="J201" s="108">
        <f t="shared" si="243"/>
        <v>-1756</v>
      </c>
      <c r="K201" s="108">
        <f t="shared" si="243"/>
        <v>-5946</v>
      </c>
      <c r="L201" s="108">
        <f t="shared" si="243"/>
        <v>1307</v>
      </c>
      <c r="M201" s="108">
        <f t="shared" si="243"/>
        <v>-68590</v>
      </c>
      <c r="N201" s="108">
        <f t="shared" si="243"/>
        <v>-70392</v>
      </c>
      <c r="O201" s="108">
        <f t="shared" si="243"/>
        <v>-132822</v>
      </c>
      <c r="P201" s="108">
        <f t="shared" si="243"/>
        <v>-477</v>
      </c>
      <c r="Q201" s="108">
        <f t="shared" si="243"/>
        <v>-1876</v>
      </c>
      <c r="R201" s="108">
        <f t="shared" si="243"/>
        <v>-3206</v>
      </c>
      <c r="S201" s="108">
        <f t="shared" si="243"/>
        <v>-10482</v>
      </c>
      <c r="T201" s="108">
        <f t="shared" ref="T201:U201" si="244">T131+T166</f>
        <v>-30901</v>
      </c>
      <c r="U201" s="108">
        <f t="shared" si="244"/>
        <v>-40223</v>
      </c>
    </row>
    <row r="202" spans="2:21">
      <c r="B202" s="102" t="s">
        <v>474</v>
      </c>
      <c r="C202" s="102" t="s">
        <v>473</v>
      </c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>
        <f>O132</f>
        <v>-311</v>
      </c>
      <c r="P202" s="108"/>
      <c r="Q202" s="108"/>
      <c r="R202" s="108"/>
      <c r="S202" s="108">
        <f>S132</f>
        <v>-21386</v>
      </c>
      <c r="T202" s="108">
        <f>T132</f>
        <v>-23197</v>
      </c>
      <c r="U202" s="108">
        <v>-24438</v>
      </c>
    </row>
    <row r="203" spans="2:21">
      <c r="B203" s="106" t="s">
        <v>529</v>
      </c>
      <c r="C203" s="106" t="s">
        <v>525</v>
      </c>
      <c r="D203" s="107">
        <f t="shared" ref="D203:K203" si="245">D199+D200+D201</f>
        <v>719971</v>
      </c>
      <c r="E203" s="107">
        <f t="shared" si="245"/>
        <v>1479984</v>
      </c>
      <c r="F203" s="107">
        <f t="shared" si="245"/>
        <v>2188521</v>
      </c>
      <c r="G203" s="107">
        <f t="shared" si="245"/>
        <v>2901480</v>
      </c>
      <c r="H203" s="107">
        <f t="shared" si="245"/>
        <v>751539</v>
      </c>
      <c r="I203" s="107">
        <f t="shared" si="245"/>
        <v>1252713</v>
      </c>
      <c r="J203" s="107">
        <f t="shared" si="245"/>
        <v>1882976</v>
      </c>
      <c r="K203" s="107">
        <f t="shared" si="245"/>
        <v>2345749</v>
      </c>
      <c r="L203" s="107">
        <f t="shared" ref="L203:R203" si="246">L199+L200+L201+L202</f>
        <v>655344</v>
      </c>
      <c r="M203" s="107">
        <f t="shared" si="246"/>
        <v>461481</v>
      </c>
      <c r="N203" s="107">
        <f t="shared" si="246"/>
        <v>1063006</v>
      </c>
      <c r="O203" s="107">
        <f t="shared" si="246"/>
        <v>1678884</v>
      </c>
      <c r="P203" s="107">
        <f t="shared" si="246"/>
        <v>647400</v>
      </c>
      <c r="Q203" s="107">
        <f t="shared" si="246"/>
        <v>1273710</v>
      </c>
      <c r="R203" s="107">
        <f t="shared" si="246"/>
        <v>1938908</v>
      </c>
      <c r="S203" s="107">
        <f>S199+S200+S201+S202</f>
        <v>2598589.98863</v>
      </c>
      <c r="T203" s="107">
        <f t="shared" ref="T203:U203" si="247">T199+T200+T201+T202</f>
        <v>830513</v>
      </c>
      <c r="U203" s="107">
        <f t="shared" si="247"/>
        <v>1789805</v>
      </c>
    </row>
    <row r="204" spans="2:21">
      <c r="B204" s="102" t="s">
        <v>216</v>
      </c>
      <c r="C204" s="102" t="s">
        <v>325</v>
      </c>
      <c r="D204" s="108">
        <f t="shared" ref="D204:O204" si="248">D134+D169</f>
        <v>-505983</v>
      </c>
      <c r="E204" s="108">
        <f t="shared" si="248"/>
        <v>-989154</v>
      </c>
      <c r="F204" s="108">
        <f t="shared" si="248"/>
        <v>-1452733</v>
      </c>
      <c r="G204" s="108">
        <f t="shared" si="248"/>
        <v>-1913189</v>
      </c>
      <c r="H204" s="108">
        <f t="shared" si="248"/>
        <v>-566629</v>
      </c>
      <c r="I204" s="108">
        <f t="shared" si="248"/>
        <v>-1016156</v>
      </c>
      <c r="J204" s="108">
        <f t="shared" si="248"/>
        <v>-1447148</v>
      </c>
      <c r="K204" s="108">
        <f t="shared" si="248"/>
        <v>-1856078</v>
      </c>
      <c r="L204" s="108">
        <f t="shared" si="248"/>
        <v>-535709</v>
      </c>
      <c r="M204" s="108">
        <f t="shared" si="248"/>
        <v>-986460</v>
      </c>
      <c r="N204" s="108">
        <f t="shared" si="248"/>
        <v>-1449589</v>
      </c>
      <c r="O204" s="108">
        <f t="shared" si="248"/>
        <v>-1885334</v>
      </c>
      <c r="P204" s="108">
        <f t="shared" ref="P204:U204" si="249">P134+P169</f>
        <v>-476556</v>
      </c>
      <c r="Q204" s="108">
        <f t="shared" si="249"/>
        <v>-913540</v>
      </c>
      <c r="R204" s="108">
        <f t="shared" si="249"/>
        <v>-1365443</v>
      </c>
      <c r="S204" s="108">
        <f t="shared" si="249"/>
        <v>-1819379</v>
      </c>
      <c r="T204" s="108">
        <f t="shared" si="249"/>
        <v>-557129</v>
      </c>
      <c r="U204" s="108">
        <f t="shared" si="249"/>
        <v>-1214540</v>
      </c>
    </row>
    <row r="205" spans="2:21">
      <c r="B205" s="106" t="s">
        <v>218</v>
      </c>
      <c r="C205" s="106" t="s">
        <v>526</v>
      </c>
      <c r="D205" s="107">
        <f t="shared" ref="D205:N205" si="250">D203+D204</f>
        <v>213988</v>
      </c>
      <c r="E205" s="107">
        <f t="shared" si="250"/>
        <v>490830</v>
      </c>
      <c r="F205" s="107">
        <f t="shared" si="250"/>
        <v>735788</v>
      </c>
      <c r="G205" s="107">
        <f t="shared" si="250"/>
        <v>988291</v>
      </c>
      <c r="H205" s="107">
        <f t="shared" si="250"/>
        <v>184910</v>
      </c>
      <c r="I205" s="107">
        <f t="shared" si="250"/>
        <v>236557</v>
      </c>
      <c r="J205" s="107">
        <f t="shared" si="250"/>
        <v>435828</v>
      </c>
      <c r="K205" s="107">
        <f t="shared" si="250"/>
        <v>489671</v>
      </c>
      <c r="L205" s="107">
        <f t="shared" si="250"/>
        <v>119635</v>
      </c>
      <c r="M205" s="107">
        <f t="shared" si="250"/>
        <v>-524979</v>
      </c>
      <c r="N205" s="107">
        <f t="shared" si="250"/>
        <v>-386583</v>
      </c>
      <c r="O205" s="107">
        <f t="shared" ref="O205:T205" si="251">O203+O204</f>
        <v>-206450</v>
      </c>
      <c r="P205" s="107">
        <f t="shared" si="251"/>
        <v>170844</v>
      </c>
      <c r="Q205" s="107">
        <f t="shared" si="251"/>
        <v>360170</v>
      </c>
      <c r="R205" s="107">
        <f t="shared" si="251"/>
        <v>573465</v>
      </c>
      <c r="S205" s="107">
        <f t="shared" si="251"/>
        <v>779210.98863000004</v>
      </c>
      <c r="T205" s="107">
        <f t="shared" si="251"/>
        <v>273384</v>
      </c>
      <c r="U205" s="107">
        <f t="shared" ref="U205" si="252">U203+U204</f>
        <v>575265</v>
      </c>
    </row>
    <row r="206" spans="2:21">
      <c r="B206" s="102" t="s">
        <v>219</v>
      </c>
      <c r="C206" s="102" t="s">
        <v>10</v>
      </c>
      <c r="D206" s="108">
        <f t="shared" ref="D206:O206" si="253">D136+D171</f>
        <v>-56653</v>
      </c>
      <c r="E206" s="108">
        <f t="shared" si="253"/>
        <v>-136537</v>
      </c>
      <c r="F206" s="108">
        <f t="shared" si="253"/>
        <v>-204678</v>
      </c>
      <c r="G206" s="108">
        <f t="shared" si="253"/>
        <v>-274918</v>
      </c>
      <c r="H206" s="108">
        <f t="shared" si="253"/>
        <v>-81421</v>
      </c>
      <c r="I206" s="108">
        <f t="shared" si="253"/>
        <v>-143377</v>
      </c>
      <c r="J206" s="108">
        <f t="shared" si="253"/>
        <v>-200049</v>
      </c>
      <c r="K206" s="108">
        <f t="shared" si="253"/>
        <v>-241391</v>
      </c>
      <c r="L206" s="108">
        <f t="shared" si="253"/>
        <v>-47504</v>
      </c>
      <c r="M206" s="108">
        <f t="shared" si="253"/>
        <v>14664</v>
      </c>
      <c r="N206" s="108">
        <f t="shared" si="253"/>
        <v>-33071</v>
      </c>
      <c r="O206" s="108">
        <f t="shared" si="253"/>
        <v>-104783</v>
      </c>
      <c r="P206" s="108">
        <f t="shared" ref="P206:U206" si="254">P136+P171</f>
        <v>-62750</v>
      </c>
      <c r="Q206" s="108">
        <f t="shared" si="254"/>
        <v>-128265</v>
      </c>
      <c r="R206" s="108">
        <f t="shared" si="254"/>
        <v>-191178</v>
      </c>
      <c r="S206" s="108">
        <f t="shared" si="254"/>
        <v>-297286</v>
      </c>
      <c r="T206" s="108">
        <f t="shared" si="254"/>
        <v>-104214</v>
      </c>
      <c r="U206" s="108">
        <f t="shared" si="254"/>
        <v>-189881</v>
      </c>
    </row>
    <row r="207" spans="2:21">
      <c r="B207" s="106" t="s">
        <v>530</v>
      </c>
      <c r="C207" s="106" t="s">
        <v>527</v>
      </c>
      <c r="D207" s="107">
        <f t="shared" ref="D207:N207" si="255">D205+D206</f>
        <v>157335</v>
      </c>
      <c r="E207" s="107">
        <f t="shared" si="255"/>
        <v>354293</v>
      </c>
      <c r="F207" s="107">
        <f t="shared" si="255"/>
        <v>531110</v>
      </c>
      <c r="G207" s="107">
        <f t="shared" si="255"/>
        <v>713373</v>
      </c>
      <c r="H207" s="107">
        <f t="shared" si="255"/>
        <v>103489</v>
      </c>
      <c r="I207" s="107">
        <f t="shared" si="255"/>
        <v>93180</v>
      </c>
      <c r="J207" s="107">
        <f t="shared" si="255"/>
        <v>235779</v>
      </c>
      <c r="K207" s="107">
        <f t="shared" si="255"/>
        <v>248280</v>
      </c>
      <c r="L207" s="107">
        <f t="shared" si="255"/>
        <v>72131</v>
      </c>
      <c r="M207" s="107">
        <f t="shared" si="255"/>
        <v>-510315</v>
      </c>
      <c r="N207" s="107">
        <f t="shared" si="255"/>
        <v>-419654</v>
      </c>
      <c r="O207" s="107">
        <f t="shared" ref="O207:T207" si="256">O205+O206</f>
        <v>-311233</v>
      </c>
      <c r="P207" s="107">
        <f t="shared" si="256"/>
        <v>108094</v>
      </c>
      <c r="Q207" s="107">
        <f t="shared" si="256"/>
        <v>231905</v>
      </c>
      <c r="R207" s="107">
        <f t="shared" si="256"/>
        <v>382287</v>
      </c>
      <c r="S207" s="107">
        <f t="shared" si="256"/>
        <v>481924.98863000004</v>
      </c>
      <c r="T207" s="107">
        <f t="shared" si="256"/>
        <v>169170</v>
      </c>
      <c r="U207" s="107">
        <f t="shared" ref="U207" si="257">U205+U206</f>
        <v>385384</v>
      </c>
    </row>
    <row r="208" spans="2:21">
      <c r="B208" s="102" t="s">
        <v>500</v>
      </c>
      <c r="C208" s="102" t="s">
        <v>331</v>
      </c>
      <c r="D208" s="102">
        <v>0</v>
      </c>
      <c r="E208" s="102">
        <v>0</v>
      </c>
      <c r="F208" s="102">
        <v>0</v>
      </c>
      <c r="G208" s="102">
        <v>0</v>
      </c>
      <c r="H208" s="102">
        <v>0</v>
      </c>
      <c r="I208" s="102">
        <v>0</v>
      </c>
      <c r="J208" s="102">
        <v>0</v>
      </c>
      <c r="K208" s="102">
        <v>0</v>
      </c>
      <c r="L208" s="102">
        <v>0</v>
      </c>
      <c r="M208" s="108">
        <v>-3052</v>
      </c>
      <c r="N208" s="108">
        <v>-11927</v>
      </c>
      <c r="O208" s="102">
        <v>0</v>
      </c>
      <c r="P208" s="102">
        <v>0</v>
      </c>
      <c r="Q208" s="108">
        <v>0</v>
      </c>
      <c r="R208" s="108">
        <v>0</v>
      </c>
      <c r="S208" s="108">
        <v>0</v>
      </c>
      <c r="T208" s="102">
        <v>0</v>
      </c>
      <c r="U208" s="108">
        <v>0</v>
      </c>
    </row>
    <row r="209" spans="2:21">
      <c r="B209" s="106" t="s">
        <v>499</v>
      </c>
      <c r="C209" s="106" t="s">
        <v>374</v>
      </c>
      <c r="D209" s="107">
        <f t="shared" ref="D209:R209" si="258">D207+D208</f>
        <v>157335</v>
      </c>
      <c r="E209" s="107">
        <f t="shared" si="258"/>
        <v>354293</v>
      </c>
      <c r="F209" s="107">
        <f t="shared" si="258"/>
        <v>531110</v>
      </c>
      <c r="G209" s="107">
        <f t="shared" si="258"/>
        <v>713373</v>
      </c>
      <c r="H209" s="107">
        <f t="shared" si="258"/>
        <v>103489</v>
      </c>
      <c r="I209" s="107">
        <f t="shared" si="258"/>
        <v>93180</v>
      </c>
      <c r="J209" s="107">
        <f t="shared" si="258"/>
        <v>235779</v>
      </c>
      <c r="K209" s="107">
        <f t="shared" si="258"/>
        <v>248280</v>
      </c>
      <c r="L209" s="107">
        <f t="shared" si="258"/>
        <v>72131</v>
      </c>
      <c r="M209" s="107">
        <f t="shared" si="258"/>
        <v>-513367</v>
      </c>
      <c r="N209" s="107">
        <f t="shared" si="258"/>
        <v>-431581</v>
      </c>
      <c r="O209" s="107">
        <f t="shared" si="258"/>
        <v>-311233</v>
      </c>
      <c r="P209" s="107">
        <f t="shared" si="258"/>
        <v>108094</v>
      </c>
      <c r="Q209" s="107">
        <f t="shared" si="258"/>
        <v>231905</v>
      </c>
      <c r="R209" s="107">
        <f t="shared" si="258"/>
        <v>382287</v>
      </c>
      <c r="S209" s="107">
        <f>S207+S208</f>
        <v>481924.98863000004</v>
      </c>
      <c r="T209" s="107">
        <f t="shared" ref="T209:U209" si="259">T207+T208</f>
        <v>169170</v>
      </c>
      <c r="U209" s="107">
        <f t="shared" si="259"/>
        <v>385384</v>
      </c>
    </row>
    <row r="210" spans="2:21">
      <c r="B210" s="102" t="s">
        <v>375</v>
      </c>
      <c r="C210" s="102" t="s">
        <v>135</v>
      </c>
      <c r="D210" s="108">
        <v>-43235</v>
      </c>
      <c r="E210" s="108">
        <v>-86045</v>
      </c>
      <c r="F210" s="108">
        <v>-130845</v>
      </c>
      <c r="G210" s="108">
        <v>-174527</v>
      </c>
      <c r="H210" s="108">
        <v>-59139</v>
      </c>
      <c r="I210" s="108">
        <v>-120723</v>
      </c>
      <c r="J210" s="108">
        <v>-181986</v>
      </c>
      <c r="K210" s="108">
        <v>-247593</v>
      </c>
      <c r="L210" s="108">
        <v>-60867</v>
      </c>
      <c r="M210" s="108">
        <v>-119822</v>
      </c>
      <c r="N210" s="108">
        <v>-228994</v>
      </c>
      <c r="O210" s="108">
        <v>-287658</v>
      </c>
      <c r="P210" s="108">
        <v>-55717</v>
      </c>
      <c r="Q210" s="108">
        <v>-112844</v>
      </c>
      <c r="R210" s="108">
        <v>-173836</v>
      </c>
      <c r="S210" s="108">
        <v>-232983</v>
      </c>
      <c r="T210" s="108">
        <v>-57419</v>
      </c>
      <c r="U210" s="108">
        <v>-116312</v>
      </c>
    </row>
    <row r="211" spans="2:21">
      <c r="B211" s="102" t="s">
        <v>376</v>
      </c>
      <c r="C211" s="102" t="s">
        <v>37</v>
      </c>
      <c r="D211" s="108">
        <f t="shared" ref="D211:P211" si="260">D141+D176</f>
        <v>70355779</v>
      </c>
      <c r="E211" s="108">
        <f t="shared" si="260"/>
        <v>70337259</v>
      </c>
      <c r="F211" s="108">
        <f t="shared" si="260"/>
        <v>71167223</v>
      </c>
      <c r="G211" s="108">
        <f t="shared" si="260"/>
        <v>73419887</v>
      </c>
      <c r="H211" s="108">
        <f t="shared" si="260"/>
        <v>74638883</v>
      </c>
      <c r="I211" s="108">
        <f t="shared" si="260"/>
        <v>77039192</v>
      </c>
      <c r="J211" s="108">
        <f t="shared" si="260"/>
        <v>76963230</v>
      </c>
      <c r="K211" s="108">
        <f t="shared" si="260"/>
        <v>76714137</v>
      </c>
      <c r="L211" s="108">
        <f t="shared" si="260"/>
        <v>76489432</v>
      </c>
      <c r="M211" s="108">
        <f t="shared" si="260"/>
        <v>77671909</v>
      </c>
      <c r="N211" s="108">
        <f t="shared" si="260"/>
        <v>77717339</v>
      </c>
      <c r="O211" s="108">
        <f t="shared" si="260"/>
        <v>78642032</v>
      </c>
      <c r="P211" s="108">
        <f t="shared" si="260"/>
        <v>79880618</v>
      </c>
      <c r="Q211" s="108">
        <v>79035095</v>
      </c>
      <c r="R211" s="108">
        <v>78201942</v>
      </c>
      <c r="S211" s="108">
        <v>83048372</v>
      </c>
      <c r="T211" s="108">
        <f t="shared" ref="T211" si="261">T141+T176</f>
        <v>84649724</v>
      </c>
      <c r="U211" s="108">
        <v>84223458</v>
      </c>
    </row>
    <row r="212" spans="2:21">
      <c r="B212" s="102" t="s">
        <v>377</v>
      </c>
      <c r="C212" s="102" t="s">
        <v>378</v>
      </c>
      <c r="D212" s="108">
        <f t="shared" ref="D212:P212" si="262">D142+D177</f>
        <v>64459283</v>
      </c>
      <c r="E212" s="108">
        <f t="shared" si="262"/>
        <v>64204158</v>
      </c>
      <c r="F212" s="108">
        <f t="shared" si="262"/>
        <v>64872511</v>
      </c>
      <c r="G212" s="108">
        <f t="shared" si="262"/>
        <v>66933964</v>
      </c>
      <c r="H212" s="108">
        <f t="shared" si="262"/>
        <v>68098123</v>
      </c>
      <c r="I212" s="108">
        <f t="shared" si="262"/>
        <v>70466955</v>
      </c>
      <c r="J212" s="108">
        <f t="shared" si="262"/>
        <v>70238006</v>
      </c>
      <c r="K212" s="108">
        <f t="shared" si="262"/>
        <v>69976769</v>
      </c>
      <c r="L212" s="108">
        <f t="shared" si="262"/>
        <v>69689921</v>
      </c>
      <c r="M212" s="108">
        <f t="shared" si="262"/>
        <v>71304558</v>
      </c>
      <c r="N212" s="108">
        <f t="shared" si="262"/>
        <v>71251663</v>
      </c>
      <c r="O212" s="108">
        <f t="shared" si="262"/>
        <v>72082430</v>
      </c>
      <c r="P212" s="108">
        <f t="shared" si="262"/>
        <v>73334510</v>
      </c>
      <c r="Q212" s="108">
        <v>72452907</v>
      </c>
      <c r="R212" s="108">
        <v>71601280</v>
      </c>
      <c r="S212" s="108">
        <v>77129170</v>
      </c>
      <c r="T212" s="108">
        <f t="shared" ref="T212" si="263">T142+T177</f>
        <v>79070049</v>
      </c>
      <c r="U212" s="108">
        <v>78902441</v>
      </c>
    </row>
    <row r="213" spans="2:21">
      <c r="R213" s="108"/>
      <c r="S213" s="108"/>
    </row>
    <row r="214" spans="2:21">
      <c r="R214" s="108"/>
      <c r="S214" s="108"/>
    </row>
    <row r="215" spans="2:21">
      <c r="R215" s="108"/>
      <c r="S215" s="108"/>
    </row>
    <row r="216" spans="2:21">
      <c r="R216" s="108"/>
      <c r="S216" s="108"/>
    </row>
    <row r="217" spans="2:21">
      <c r="R217" s="108"/>
      <c r="S217" s="108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F25"/>
  <sheetViews>
    <sheetView zoomScale="90" zoomScaleNormal="90" workbookViewId="0">
      <pane xSplit="2" ySplit="3" topLeftCell="AE4" activePane="bottomRight" state="frozen"/>
      <selection pane="topRight" activeCell="C1" sqref="C1"/>
      <selection pane="bottomLeft" activeCell="A4" sqref="A4"/>
      <selection pane="bottomRight" activeCell="AN37" sqref="AN37"/>
    </sheetView>
  </sheetViews>
  <sheetFormatPr defaultColWidth="8.85546875" defaultRowHeight="10.199999999999999"/>
  <cols>
    <col min="1" max="1" width="46.42578125" style="110" customWidth="1"/>
    <col min="2" max="2" width="51.7109375" style="110" customWidth="1"/>
    <col min="3" max="22" width="8.85546875" style="110"/>
    <col min="23" max="32" width="10.140625" style="110" bestFit="1" customWidth="1"/>
    <col min="33" max="16384" width="8.85546875" style="110"/>
  </cols>
  <sheetData>
    <row r="1" spans="1:32" ht="10.8" thickBot="1"/>
    <row r="2" spans="1:32" ht="10.8" thickBot="1">
      <c r="C2" s="111" t="s">
        <v>416</v>
      </c>
      <c r="D2" s="111" t="s">
        <v>417</v>
      </c>
      <c r="E2" s="111" t="s">
        <v>418</v>
      </c>
      <c r="F2" s="111" t="s">
        <v>419</v>
      </c>
      <c r="G2" s="111" t="s">
        <v>420</v>
      </c>
      <c r="H2" s="111" t="s">
        <v>421</v>
      </c>
      <c r="I2" s="111" t="s">
        <v>422</v>
      </c>
      <c r="J2" s="111" t="s">
        <v>423</v>
      </c>
      <c r="K2" s="111" t="s">
        <v>424</v>
      </c>
      <c r="L2" s="111" t="s">
        <v>425</v>
      </c>
      <c r="M2" s="111" t="s">
        <v>426</v>
      </c>
      <c r="N2" s="111" t="s">
        <v>427</v>
      </c>
      <c r="O2" s="111" t="s">
        <v>428</v>
      </c>
      <c r="P2" s="111" t="s">
        <v>429</v>
      </c>
      <c r="Q2" s="111" t="s">
        <v>430</v>
      </c>
      <c r="R2" s="111" t="s">
        <v>431</v>
      </c>
      <c r="S2" s="111" t="s">
        <v>432</v>
      </c>
      <c r="T2" s="111" t="s">
        <v>433</v>
      </c>
      <c r="U2" s="111" t="s">
        <v>434</v>
      </c>
      <c r="V2" s="111" t="s">
        <v>435</v>
      </c>
      <c r="W2" s="111" t="s">
        <v>436</v>
      </c>
      <c r="X2" s="111" t="s">
        <v>437</v>
      </c>
      <c r="Y2" s="111" t="s">
        <v>438</v>
      </c>
      <c r="Z2" s="111" t="s">
        <v>439</v>
      </c>
      <c r="AA2" s="111" t="s">
        <v>440</v>
      </c>
      <c r="AB2" s="111" t="s">
        <v>441</v>
      </c>
      <c r="AC2" s="111" t="s">
        <v>442</v>
      </c>
      <c r="AD2" s="111" t="s">
        <v>472</v>
      </c>
      <c r="AE2" s="111" t="s">
        <v>501</v>
      </c>
      <c r="AF2" s="111" t="s">
        <v>503</v>
      </c>
    </row>
    <row r="3" spans="1:32" ht="10.8" thickBot="1">
      <c r="A3" s="112" t="s">
        <v>388</v>
      </c>
      <c r="B3" s="111" t="s">
        <v>389</v>
      </c>
      <c r="C3" s="111" t="s">
        <v>443</v>
      </c>
      <c r="D3" s="111" t="s">
        <v>444</v>
      </c>
      <c r="E3" s="111" t="s">
        <v>445</v>
      </c>
      <c r="F3" s="111" t="s">
        <v>446</v>
      </c>
      <c r="G3" s="111" t="s">
        <v>447</v>
      </c>
      <c r="H3" s="111" t="s">
        <v>448</v>
      </c>
      <c r="I3" s="111" t="s">
        <v>449</v>
      </c>
      <c r="J3" s="111" t="s">
        <v>450</v>
      </c>
      <c r="K3" s="111" t="s">
        <v>451</v>
      </c>
      <c r="L3" s="111" t="s">
        <v>452</v>
      </c>
      <c r="M3" s="111" t="s">
        <v>453</v>
      </c>
      <c r="N3" s="111" t="s">
        <v>454</v>
      </c>
      <c r="O3" s="111" t="s">
        <v>455</v>
      </c>
      <c r="P3" s="111" t="s">
        <v>456</v>
      </c>
      <c r="Q3" s="111" t="s">
        <v>457</v>
      </c>
      <c r="R3" s="111" t="s">
        <v>458</v>
      </c>
      <c r="S3" s="111" t="s">
        <v>459</v>
      </c>
      <c r="T3" s="111" t="s">
        <v>460</v>
      </c>
      <c r="U3" s="111" t="s">
        <v>461</v>
      </c>
      <c r="V3" s="111" t="s">
        <v>462</v>
      </c>
      <c r="W3" s="111" t="s">
        <v>463</v>
      </c>
      <c r="X3" s="111" t="s">
        <v>464</v>
      </c>
      <c r="Y3" s="111" t="s">
        <v>465</v>
      </c>
      <c r="Z3" s="111" t="s">
        <v>466</v>
      </c>
      <c r="AA3" s="111" t="s">
        <v>467</v>
      </c>
      <c r="AB3" s="111" t="s">
        <v>468</v>
      </c>
      <c r="AC3" s="111" t="s">
        <v>469</v>
      </c>
      <c r="AD3" s="111" t="s">
        <v>471</v>
      </c>
      <c r="AE3" s="111" t="s">
        <v>502</v>
      </c>
      <c r="AF3" s="111" t="s">
        <v>504</v>
      </c>
    </row>
    <row r="4" spans="1:32" s="113" customFormat="1">
      <c r="A4" s="113" t="s">
        <v>390</v>
      </c>
      <c r="B4" s="113" t="s">
        <v>391</v>
      </c>
      <c r="C4" s="114">
        <v>3504481</v>
      </c>
      <c r="D4" s="114">
        <v>3501910</v>
      </c>
      <c r="E4" s="114">
        <v>3674432</v>
      </c>
      <c r="F4" s="114">
        <v>3853305</v>
      </c>
      <c r="G4" s="114">
        <v>4017326</v>
      </c>
      <c r="H4" s="114">
        <v>6511264</v>
      </c>
      <c r="I4" s="114">
        <v>5479930</v>
      </c>
      <c r="J4" s="114">
        <v>6346932</v>
      </c>
      <c r="K4" s="114">
        <v>6800704</v>
      </c>
      <c r="L4" s="114">
        <v>6721461</v>
      </c>
      <c r="M4" s="114">
        <v>6921552</v>
      </c>
      <c r="N4" s="114">
        <v>7643277</v>
      </c>
      <c r="O4" s="114">
        <v>7767791</v>
      </c>
      <c r="P4" s="114">
        <v>7837581</v>
      </c>
      <c r="Q4" s="114">
        <v>7830864</v>
      </c>
      <c r="R4" s="114">
        <v>8156980</v>
      </c>
      <c r="S4" s="114">
        <v>7874487</v>
      </c>
      <c r="T4" s="114">
        <v>8054914</v>
      </c>
      <c r="U4" s="114">
        <v>8189621</v>
      </c>
      <c r="V4" s="114">
        <v>7998975</v>
      </c>
      <c r="W4" s="114">
        <v>7768695</v>
      </c>
      <c r="X4" s="114">
        <v>7572228</v>
      </c>
      <c r="Y4" s="114">
        <v>7550271</v>
      </c>
      <c r="Z4" s="114">
        <v>7658399</v>
      </c>
      <c r="AA4" s="114">
        <v>7355076</v>
      </c>
      <c r="AB4" s="114">
        <v>7218260</v>
      </c>
      <c r="AC4" s="114">
        <v>7297459</v>
      </c>
      <c r="AD4" s="114">
        <v>6997724</v>
      </c>
      <c r="AE4" s="114">
        <v>7083833</v>
      </c>
      <c r="AF4" s="114">
        <v>6926486</v>
      </c>
    </row>
    <row r="5" spans="1:32">
      <c r="A5" s="110" t="s">
        <v>392</v>
      </c>
      <c r="B5" s="110" t="s">
        <v>393</v>
      </c>
      <c r="C5" s="115">
        <v>2805570</v>
      </c>
      <c r="D5" s="115">
        <v>2804134</v>
      </c>
      <c r="E5" s="115">
        <v>2978413</v>
      </c>
      <c r="F5" s="115">
        <v>2975899</v>
      </c>
      <c r="G5" s="115">
        <v>3141995</v>
      </c>
      <c r="H5" s="115">
        <v>5384672</v>
      </c>
      <c r="I5" s="115">
        <v>4572519</v>
      </c>
      <c r="J5" s="115">
        <v>5253547</v>
      </c>
      <c r="K5" s="115">
        <v>5735705</v>
      </c>
      <c r="L5" s="115">
        <v>5686375</v>
      </c>
      <c r="M5" s="115">
        <v>5919574</v>
      </c>
      <c r="N5" s="115">
        <v>6080277</v>
      </c>
      <c r="O5" s="115">
        <v>6091694</v>
      </c>
      <c r="P5" s="115">
        <v>6197748</v>
      </c>
      <c r="Q5" s="115">
        <v>6230149</v>
      </c>
      <c r="R5" s="115">
        <v>6594281</v>
      </c>
      <c r="S5" s="115">
        <v>6349213</v>
      </c>
      <c r="T5" s="115">
        <v>6569463</v>
      </c>
      <c r="U5" s="115">
        <v>6745864</v>
      </c>
      <c r="V5" s="115">
        <v>6656743</v>
      </c>
      <c r="W5" s="115">
        <v>6476598</v>
      </c>
      <c r="X5" s="115">
        <v>6331773</v>
      </c>
      <c r="Y5" s="115">
        <v>6361540</v>
      </c>
      <c r="Z5" s="115">
        <v>6545217</v>
      </c>
      <c r="AA5" s="115">
        <v>6329616</v>
      </c>
      <c r="AB5" s="115">
        <v>6269867</v>
      </c>
      <c r="AC5" s="115">
        <v>6425584</v>
      </c>
      <c r="AD5" s="115">
        <v>6199997</v>
      </c>
      <c r="AE5" s="115">
        <v>6350653.1326121939</v>
      </c>
      <c r="AF5" s="115">
        <v>6253982</v>
      </c>
    </row>
    <row r="6" spans="1:32">
      <c r="A6" s="110" t="s">
        <v>394</v>
      </c>
      <c r="B6" s="110" t="s">
        <v>395</v>
      </c>
      <c r="C6" s="115">
        <v>698911</v>
      </c>
      <c r="D6" s="115">
        <v>697776</v>
      </c>
      <c r="E6" s="115">
        <v>696019</v>
      </c>
      <c r="F6" s="115">
        <v>877406</v>
      </c>
      <c r="G6" s="115">
        <v>875331</v>
      </c>
      <c r="H6" s="115">
        <v>1126592</v>
      </c>
      <c r="I6" s="115">
        <v>907411</v>
      </c>
      <c r="J6" s="115">
        <v>1093385</v>
      </c>
      <c r="K6" s="115">
        <v>1064999</v>
      </c>
      <c r="L6" s="115">
        <v>1035086</v>
      </c>
      <c r="M6" s="115">
        <v>1001978</v>
      </c>
      <c r="N6" s="115">
        <v>1563000</v>
      </c>
      <c r="O6" s="115">
        <v>1676097</v>
      </c>
      <c r="P6" s="115">
        <v>1639833</v>
      </c>
      <c r="Q6" s="115">
        <v>1600715</v>
      </c>
      <c r="R6" s="115">
        <v>1562699</v>
      </c>
      <c r="S6" s="115">
        <v>1525274</v>
      </c>
      <c r="T6" s="115">
        <v>1485451</v>
      </c>
      <c r="U6" s="115">
        <v>1443757</v>
      </c>
      <c r="V6" s="115">
        <v>1342232</v>
      </c>
      <c r="W6" s="115">
        <v>1292097</v>
      </c>
      <c r="X6" s="115">
        <v>1240455</v>
      </c>
      <c r="Y6" s="115">
        <v>1188731</v>
      </c>
      <c r="Z6" s="115">
        <v>1113182</v>
      </c>
      <c r="AA6" s="115">
        <v>1025460</v>
      </c>
      <c r="AB6" s="115">
        <v>948393</v>
      </c>
      <c r="AC6" s="115">
        <v>871875</v>
      </c>
      <c r="AD6" s="115">
        <v>797727</v>
      </c>
      <c r="AE6" s="115">
        <v>733180</v>
      </c>
      <c r="AF6" s="115">
        <v>672504</v>
      </c>
    </row>
    <row r="8" spans="1:32" s="113" customFormat="1">
      <c r="A8" s="113" t="s">
        <v>396</v>
      </c>
      <c r="B8" s="113" t="s">
        <v>397</v>
      </c>
      <c r="C8" s="114">
        <f t="shared" ref="C8:U8" si="0">SUM(C9:C12)</f>
        <v>2154537</v>
      </c>
      <c r="D8" s="114">
        <f t="shared" si="0"/>
        <v>2192424</v>
      </c>
      <c r="E8" s="114">
        <f t="shared" si="0"/>
        <v>2312783</v>
      </c>
      <c r="F8" s="114">
        <f t="shared" si="0"/>
        <v>2457567</v>
      </c>
      <c r="G8" s="114">
        <f t="shared" si="0"/>
        <v>2378091</v>
      </c>
      <c r="H8" s="114">
        <f t="shared" si="0"/>
        <v>2488941</v>
      </c>
      <c r="I8" s="114">
        <f t="shared" si="0"/>
        <v>2731055</v>
      </c>
      <c r="J8" s="114">
        <f t="shared" si="0"/>
        <v>3720992</v>
      </c>
      <c r="K8" s="114">
        <f t="shared" si="0"/>
        <v>3777491</v>
      </c>
      <c r="L8" s="114">
        <f t="shared" si="0"/>
        <v>3940471</v>
      </c>
      <c r="M8" s="114">
        <f t="shared" si="0"/>
        <v>3939494</v>
      </c>
      <c r="N8" s="114">
        <f t="shared" si="0"/>
        <v>4024070</v>
      </c>
      <c r="O8" s="114">
        <f t="shared" si="0"/>
        <v>4030406</v>
      </c>
      <c r="P8" s="114">
        <f t="shared" si="0"/>
        <v>4064792</v>
      </c>
      <c r="Q8" s="114">
        <f t="shared" si="0"/>
        <v>4106542</v>
      </c>
      <c r="R8" s="114">
        <f t="shared" si="0"/>
        <v>4117482</v>
      </c>
      <c r="S8" s="114">
        <f t="shared" si="0"/>
        <v>4089577</v>
      </c>
      <c r="T8" s="114">
        <f t="shared" si="0"/>
        <v>4069203</v>
      </c>
      <c r="U8" s="114">
        <f t="shared" si="0"/>
        <v>4035315</v>
      </c>
      <c r="V8" s="114">
        <f t="shared" ref="V8:AD8" si="1">SUM(V9:V12)</f>
        <v>3950360</v>
      </c>
      <c r="W8" s="114">
        <f t="shared" si="1"/>
        <v>4003588</v>
      </c>
      <c r="X8" s="114">
        <f t="shared" si="1"/>
        <v>3854675</v>
      </c>
      <c r="Y8" s="114">
        <f t="shared" si="1"/>
        <v>3920404</v>
      </c>
      <c r="Z8" s="114">
        <f t="shared" si="1"/>
        <v>3865246</v>
      </c>
      <c r="AA8" s="114">
        <f t="shared" si="1"/>
        <v>3852458</v>
      </c>
      <c r="AB8" s="114">
        <f t="shared" si="1"/>
        <v>3861602</v>
      </c>
      <c r="AC8" s="114">
        <f t="shared" si="1"/>
        <v>3814538</v>
      </c>
      <c r="AD8" s="114">
        <f t="shared" si="1"/>
        <v>3952896</v>
      </c>
      <c r="AE8" s="114">
        <f t="shared" ref="AE8:AF8" si="2">SUM(AE9:AE12)</f>
        <v>3891625</v>
      </c>
      <c r="AF8" s="114">
        <f t="shared" si="2"/>
        <v>3961093</v>
      </c>
    </row>
    <row r="9" spans="1:32">
      <c r="A9" s="110" t="s">
        <v>398</v>
      </c>
      <c r="B9" s="110" t="s">
        <v>399</v>
      </c>
      <c r="C9" s="115">
        <v>1882739</v>
      </c>
      <c r="D9" s="115">
        <v>1952908</v>
      </c>
      <c r="E9" s="115">
        <v>2072103</v>
      </c>
      <c r="F9" s="115">
        <v>2214189</v>
      </c>
      <c r="G9" s="115">
        <v>2082193</v>
      </c>
      <c r="H9" s="115">
        <v>2182161</v>
      </c>
      <c r="I9" s="115">
        <v>2428518</v>
      </c>
      <c r="J9" s="115">
        <v>3238125</v>
      </c>
      <c r="K9" s="115">
        <v>3267350</v>
      </c>
      <c r="L9" s="115">
        <v>3428115</v>
      </c>
      <c r="M9" s="115">
        <v>3439851</v>
      </c>
      <c r="N9" s="115">
        <v>3535517</v>
      </c>
      <c r="O9" s="115">
        <v>3576485</v>
      </c>
      <c r="P9" s="115">
        <v>3619220</v>
      </c>
      <c r="Q9" s="115">
        <v>3659344</v>
      </c>
      <c r="R9" s="115">
        <v>3662124</v>
      </c>
      <c r="S9" s="115">
        <v>3743158</v>
      </c>
      <c r="T9" s="115">
        <v>3752234</v>
      </c>
      <c r="U9" s="115">
        <v>3700796</v>
      </c>
      <c r="V9" s="115">
        <v>3618145</v>
      </c>
      <c r="W9" s="115">
        <v>3669605</v>
      </c>
      <c r="X9" s="115">
        <v>3506177</v>
      </c>
      <c r="Y9" s="115">
        <v>3594502</v>
      </c>
      <c r="Z9" s="115">
        <v>3535303</v>
      </c>
      <c r="AA9" s="115">
        <v>3531048</v>
      </c>
      <c r="AB9" s="115">
        <v>3547076</v>
      </c>
      <c r="AC9" s="115">
        <v>3494458</v>
      </c>
      <c r="AD9" s="115">
        <v>3622321</v>
      </c>
      <c r="AE9" s="115">
        <v>3555681</v>
      </c>
      <c r="AF9" s="115">
        <v>3624044</v>
      </c>
    </row>
    <row r="10" spans="1:32">
      <c r="A10" s="110" t="s">
        <v>400</v>
      </c>
      <c r="B10" s="110" t="s">
        <v>401</v>
      </c>
      <c r="C10" s="115">
        <v>1733</v>
      </c>
      <c r="D10" s="115">
        <v>2372</v>
      </c>
      <c r="E10" s="115">
        <v>1715</v>
      </c>
      <c r="F10" s="115">
        <v>2520</v>
      </c>
      <c r="G10" s="115">
        <v>2822</v>
      </c>
      <c r="H10" s="115">
        <v>2099</v>
      </c>
      <c r="I10" s="115">
        <v>1996</v>
      </c>
      <c r="J10" s="115">
        <v>2687</v>
      </c>
      <c r="K10" s="115">
        <v>3675</v>
      </c>
      <c r="L10" s="115">
        <v>3347</v>
      </c>
      <c r="M10" s="115">
        <v>3208</v>
      </c>
      <c r="N10" s="115">
        <v>4826</v>
      </c>
      <c r="O10" s="115">
        <v>1538</v>
      </c>
      <c r="P10" s="115">
        <v>2940</v>
      </c>
      <c r="Q10" s="115">
        <v>8203</v>
      </c>
      <c r="R10" s="115">
        <v>3497</v>
      </c>
      <c r="S10" s="115">
        <v>5106</v>
      </c>
      <c r="T10" s="115">
        <v>864</v>
      </c>
      <c r="U10" s="115">
        <v>5689</v>
      </c>
      <c r="V10" s="115">
        <v>5253</v>
      </c>
      <c r="W10" s="115">
        <v>4101</v>
      </c>
      <c r="X10" s="115">
        <v>6914</v>
      </c>
      <c r="Y10" s="115">
        <v>5466</v>
      </c>
      <c r="Z10" s="115">
        <v>8552</v>
      </c>
      <c r="AA10" s="115">
        <v>6007</v>
      </c>
      <c r="AB10" s="115">
        <v>2821</v>
      </c>
      <c r="AC10" s="115">
        <v>3306</v>
      </c>
      <c r="AD10" s="115">
        <v>9275</v>
      </c>
      <c r="AE10" s="115">
        <v>3972</v>
      </c>
      <c r="AF10" s="115">
        <v>3691</v>
      </c>
    </row>
    <row r="11" spans="1:32">
      <c r="A11" s="110" t="s">
        <v>402</v>
      </c>
      <c r="B11" s="110" t="s">
        <v>403</v>
      </c>
      <c r="C11" s="115">
        <v>27727</v>
      </c>
      <c r="D11" s="115">
        <v>28923</v>
      </c>
      <c r="E11" s="115">
        <v>30744</v>
      </c>
      <c r="F11" s="115">
        <v>32637</v>
      </c>
      <c r="G11" s="115">
        <v>38861</v>
      </c>
      <c r="H11" s="115">
        <v>50466</v>
      </c>
      <c r="I11" s="115">
        <v>46326</v>
      </c>
      <c r="J11" s="115">
        <v>65760</v>
      </c>
      <c r="K11" s="115">
        <v>69351</v>
      </c>
      <c r="L11" s="115">
        <v>71894</v>
      </c>
      <c r="M11" s="115">
        <v>59320</v>
      </c>
      <c r="N11" s="115">
        <v>46612</v>
      </c>
      <c r="O11" s="115">
        <v>50554</v>
      </c>
      <c r="P11" s="115">
        <v>40803</v>
      </c>
      <c r="Q11" s="115">
        <v>37166</v>
      </c>
      <c r="R11" s="115">
        <v>36991</v>
      </c>
      <c r="S11" s="115">
        <v>26588</v>
      </c>
      <c r="T11" s="115">
        <v>27261</v>
      </c>
      <c r="U11" s="115">
        <v>22873</v>
      </c>
      <c r="V11" s="115">
        <v>20602</v>
      </c>
      <c r="W11" s="115">
        <v>27739</v>
      </c>
      <c r="X11" s="115">
        <v>22677</v>
      </c>
      <c r="Y11" s="115">
        <v>21830</v>
      </c>
      <c r="Z11" s="115">
        <v>24728</v>
      </c>
      <c r="AA11" s="115">
        <v>21271</v>
      </c>
      <c r="AB11" s="115">
        <v>14918</v>
      </c>
      <c r="AC11" s="115">
        <v>11362</v>
      </c>
      <c r="AD11" s="115">
        <v>11631</v>
      </c>
      <c r="AE11" s="115">
        <v>20687</v>
      </c>
      <c r="AF11" s="115">
        <v>16378</v>
      </c>
    </row>
    <row r="12" spans="1:32">
      <c r="A12" s="110" t="s">
        <v>404</v>
      </c>
      <c r="B12" s="110" t="s">
        <v>405</v>
      </c>
      <c r="C12" s="115">
        <v>242338</v>
      </c>
      <c r="D12" s="115">
        <v>208221</v>
      </c>
      <c r="E12" s="115">
        <v>208221</v>
      </c>
      <c r="F12" s="115">
        <v>208221</v>
      </c>
      <c r="G12" s="115">
        <v>254215</v>
      </c>
      <c r="H12" s="115">
        <v>254215</v>
      </c>
      <c r="I12" s="115">
        <v>254215</v>
      </c>
      <c r="J12" s="115">
        <v>414420</v>
      </c>
      <c r="K12" s="115">
        <v>437115</v>
      </c>
      <c r="L12" s="115">
        <v>437115</v>
      </c>
      <c r="M12" s="115">
        <v>437115</v>
      </c>
      <c r="N12" s="115">
        <v>437115</v>
      </c>
      <c r="O12" s="115">
        <v>401829</v>
      </c>
      <c r="P12" s="115">
        <v>401829</v>
      </c>
      <c r="Q12" s="115">
        <v>401829</v>
      </c>
      <c r="R12" s="115">
        <v>414870</v>
      </c>
      <c r="S12" s="115">
        <v>314725</v>
      </c>
      <c r="T12" s="115">
        <v>288844</v>
      </c>
      <c r="U12" s="115">
        <v>305957</v>
      </c>
      <c r="V12" s="115">
        <v>306360</v>
      </c>
      <c r="W12" s="115">
        <v>302143</v>
      </c>
      <c r="X12" s="115">
        <v>318907</v>
      </c>
      <c r="Y12" s="115">
        <v>298606</v>
      </c>
      <c r="Z12" s="115">
        <v>296663</v>
      </c>
      <c r="AA12" s="115">
        <v>294132</v>
      </c>
      <c r="AB12" s="115">
        <v>296787</v>
      </c>
      <c r="AC12" s="115">
        <v>305412</v>
      </c>
      <c r="AD12" s="115">
        <v>309669</v>
      </c>
      <c r="AE12" s="115">
        <v>311285</v>
      </c>
      <c r="AF12" s="115">
        <v>316980</v>
      </c>
    </row>
    <row r="14" spans="1:32" ht="9.6" customHeight="1">
      <c r="A14" s="110" t="s">
        <v>406</v>
      </c>
      <c r="B14" s="110" t="s">
        <v>407</v>
      </c>
      <c r="C14" s="116">
        <v>0.1042</v>
      </c>
      <c r="D14" s="116">
        <v>0.1023</v>
      </c>
      <c r="E14" s="116">
        <v>0.10299999999999999</v>
      </c>
      <c r="F14" s="116">
        <v>9.69E-2</v>
      </c>
      <c r="G14" s="116">
        <v>0.1057</v>
      </c>
      <c r="H14" s="116">
        <v>0.1731</v>
      </c>
      <c r="I14" s="116">
        <v>0.13389999999999999</v>
      </c>
      <c r="J14" s="116">
        <v>0.1129</v>
      </c>
      <c r="K14" s="116">
        <v>0.1215</v>
      </c>
      <c r="L14" s="116">
        <v>0.1154</v>
      </c>
      <c r="M14" s="116">
        <v>0.1202</v>
      </c>
      <c r="N14" s="116">
        <v>0.121</v>
      </c>
      <c r="O14" s="116">
        <v>0.12089999999999999</v>
      </c>
      <c r="P14" s="116">
        <v>0.122</v>
      </c>
      <c r="Q14" s="116">
        <v>0.12139999999999999</v>
      </c>
      <c r="R14" s="116">
        <v>0.12809999999999999</v>
      </c>
      <c r="S14" s="116">
        <v>0.1242</v>
      </c>
      <c r="T14" s="116">
        <v>0.12920000000000001</v>
      </c>
      <c r="U14" s="116">
        <v>0.13370000000000001</v>
      </c>
      <c r="V14" s="116">
        <v>0.1348</v>
      </c>
      <c r="W14" s="116">
        <v>0.12939999999999999</v>
      </c>
      <c r="X14" s="116">
        <v>0.13139999999999999</v>
      </c>
      <c r="Y14" s="116">
        <v>0.1298</v>
      </c>
      <c r="Z14" s="116">
        <v>0.13550000000000001</v>
      </c>
      <c r="AA14" s="116">
        <v>0.13139999999999999</v>
      </c>
      <c r="AB14" s="116">
        <v>0.12989999999999999</v>
      </c>
      <c r="AC14" s="116">
        <v>0.1348</v>
      </c>
      <c r="AD14" s="116">
        <v>0.1255</v>
      </c>
      <c r="AE14" s="116">
        <v>0.13059999999999999</v>
      </c>
      <c r="AF14" s="116">
        <v>0.1263</v>
      </c>
    </row>
    <row r="15" spans="1:32">
      <c r="A15" s="110" t="s">
        <v>408</v>
      </c>
      <c r="B15" s="110" t="s">
        <v>409</v>
      </c>
      <c r="C15" s="116">
        <v>0.13009999999999999</v>
      </c>
      <c r="D15" s="116">
        <v>0.1278</v>
      </c>
      <c r="E15" s="116">
        <v>0.12709999999999999</v>
      </c>
      <c r="F15" s="116">
        <v>0.12540000000000001</v>
      </c>
      <c r="G15" s="116">
        <v>0.1351</v>
      </c>
      <c r="H15" s="116">
        <v>0.20930000000000001</v>
      </c>
      <c r="I15" s="116">
        <v>0.1605</v>
      </c>
      <c r="J15" s="116">
        <v>0.13650000000000001</v>
      </c>
      <c r="K15" s="116">
        <v>0.14399999999999999</v>
      </c>
      <c r="L15" s="116">
        <v>0.13650000000000001</v>
      </c>
      <c r="M15" s="116">
        <v>0.1406</v>
      </c>
      <c r="N15" s="116">
        <v>0.15210000000000001</v>
      </c>
      <c r="O15" s="116">
        <v>0.1542</v>
      </c>
      <c r="P15" s="116">
        <v>0.15429999999999999</v>
      </c>
      <c r="Q15" s="116">
        <v>0.15260000000000001</v>
      </c>
      <c r="R15" s="116">
        <v>0.1585</v>
      </c>
      <c r="S15" s="116">
        <v>0.154</v>
      </c>
      <c r="T15" s="116">
        <v>0.15840000000000001</v>
      </c>
      <c r="U15" s="116">
        <v>0.16239999999999999</v>
      </c>
      <c r="V15" s="116">
        <v>0.16200000000000001</v>
      </c>
      <c r="W15" s="116">
        <v>0.1552</v>
      </c>
      <c r="X15" s="116">
        <v>0.15720000000000001</v>
      </c>
      <c r="Y15" s="116">
        <v>0.15409999999999999</v>
      </c>
      <c r="Z15" s="116">
        <v>0.1585</v>
      </c>
      <c r="AA15" s="116">
        <v>0.1527</v>
      </c>
      <c r="AB15" s="116">
        <v>0.14949999999999999</v>
      </c>
      <c r="AC15" s="116">
        <v>0.153</v>
      </c>
      <c r="AD15" s="116">
        <v>0.1416</v>
      </c>
      <c r="AE15" s="116">
        <v>0.14560000000000001</v>
      </c>
      <c r="AF15" s="116">
        <v>0.1399</v>
      </c>
    </row>
    <row r="17" spans="1:32">
      <c r="A17" s="113" t="s">
        <v>410</v>
      </c>
      <c r="B17" s="113" t="s">
        <v>411</v>
      </c>
    </row>
    <row r="18" spans="1:32">
      <c r="A18" s="110" t="s">
        <v>406</v>
      </c>
      <c r="B18" s="110" t="s">
        <v>407</v>
      </c>
      <c r="C18" s="116">
        <v>0.09</v>
      </c>
      <c r="D18" s="116">
        <v>0.09</v>
      </c>
      <c r="E18" s="116">
        <v>0.09</v>
      </c>
      <c r="F18" s="116">
        <v>0.09</v>
      </c>
      <c r="G18" s="116">
        <v>0.10249999999999999</v>
      </c>
      <c r="H18" s="116">
        <v>0.10249999999999999</v>
      </c>
      <c r="I18" s="116">
        <v>0.10249999999999999</v>
      </c>
      <c r="J18" s="116">
        <v>0.10249999999999999</v>
      </c>
      <c r="K18" s="116">
        <v>0.10249999999999999</v>
      </c>
      <c r="L18" s="116">
        <v>0.10249999999999999</v>
      </c>
      <c r="M18" s="116">
        <v>0.10249999999999999</v>
      </c>
      <c r="N18" s="116">
        <v>0.10249999999999999</v>
      </c>
      <c r="O18" s="116">
        <v>0.10875</v>
      </c>
      <c r="P18" s="116">
        <v>0.10875</v>
      </c>
      <c r="Q18" s="116">
        <v>0.11125</v>
      </c>
      <c r="R18" s="116">
        <v>0.11125</v>
      </c>
      <c r="S18" s="116">
        <v>0.11749999999999999</v>
      </c>
      <c r="T18" s="116">
        <v>0.11749999999999999</v>
      </c>
      <c r="U18" s="116">
        <v>0.11749999999999999</v>
      </c>
      <c r="V18" s="116">
        <v>0.115</v>
      </c>
      <c r="W18" s="116">
        <v>8.5000000000000006E-2</v>
      </c>
      <c r="X18" s="116">
        <v>8.5000000000000006E-2</v>
      </c>
      <c r="Y18" s="116">
        <v>8.5000000000000006E-2</v>
      </c>
      <c r="Z18" s="116">
        <v>8.5000000000000006E-2</v>
      </c>
      <c r="AA18" s="116">
        <v>8.5000000000000006E-2</v>
      </c>
      <c r="AB18" s="116">
        <v>8.5000000000000006E-2</v>
      </c>
      <c r="AC18" s="116">
        <v>8.5000000000000006E-2</v>
      </c>
      <c r="AD18" s="116">
        <v>8.5000000000000006E-2</v>
      </c>
      <c r="AE18" s="116">
        <v>9.9699999999999997E-2</v>
      </c>
      <c r="AF18" s="116">
        <v>9.9699999999999997E-2</v>
      </c>
    </row>
    <row r="19" spans="1:32">
      <c r="A19" s="110" t="s">
        <v>408</v>
      </c>
      <c r="B19" s="110" t="s">
        <v>409</v>
      </c>
      <c r="C19" s="116">
        <v>0.12</v>
      </c>
      <c r="D19" s="116">
        <v>0.12</v>
      </c>
      <c r="E19" s="116">
        <v>0.12</v>
      </c>
      <c r="F19" s="116">
        <v>0.12</v>
      </c>
      <c r="G19" s="116">
        <v>0.13250000000000001</v>
      </c>
      <c r="H19" s="116">
        <v>0.13250000000000001</v>
      </c>
      <c r="I19" s="116">
        <v>0.13250000000000001</v>
      </c>
      <c r="J19" s="116">
        <v>0.13250000000000001</v>
      </c>
      <c r="K19" s="116">
        <v>0.13250000000000001</v>
      </c>
      <c r="L19" s="116">
        <v>0.13250000000000001</v>
      </c>
      <c r="M19" s="116">
        <v>0.13250000000000001</v>
      </c>
      <c r="N19" s="116">
        <v>0.13250000000000001</v>
      </c>
      <c r="O19" s="116">
        <v>0.12875</v>
      </c>
      <c r="P19" s="116">
        <v>0.12875</v>
      </c>
      <c r="Q19" s="116">
        <v>0.13125000000000001</v>
      </c>
      <c r="R19" s="116">
        <v>0.13125000000000001</v>
      </c>
      <c r="S19" s="116">
        <v>0.13749999999999998</v>
      </c>
      <c r="T19" s="116">
        <v>0.13749999999999998</v>
      </c>
      <c r="U19" s="116">
        <v>0.13749999999999998</v>
      </c>
      <c r="V19" s="116">
        <v>0.13500000000000001</v>
      </c>
      <c r="W19" s="116">
        <v>0.105</v>
      </c>
      <c r="X19" s="116">
        <v>0.105</v>
      </c>
      <c r="Y19" s="116">
        <v>0.105</v>
      </c>
      <c r="Z19" s="116">
        <v>0.105</v>
      </c>
      <c r="AA19" s="116">
        <v>0.105</v>
      </c>
      <c r="AB19" s="116">
        <v>0.105</v>
      </c>
      <c r="AC19" s="116">
        <v>0.105</v>
      </c>
      <c r="AD19" s="116">
        <v>0.105</v>
      </c>
      <c r="AE19" s="116">
        <v>0.1197</v>
      </c>
      <c r="AF19" s="116">
        <v>0.1197</v>
      </c>
    </row>
    <row r="21" spans="1:32">
      <c r="A21" s="113" t="s">
        <v>412</v>
      </c>
      <c r="B21" s="113" t="s">
        <v>413</v>
      </c>
    </row>
    <row r="22" spans="1:32">
      <c r="A22" s="110" t="s">
        <v>406</v>
      </c>
      <c r="B22" s="110" t="s">
        <v>407</v>
      </c>
      <c r="C22" s="117">
        <f t="shared" ref="C22:Z23" si="3">C14-C18</f>
        <v>1.4200000000000004E-2</v>
      </c>
      <c r="D22" s="117">
        <f t="shared" si="3"/>
        <v>1.2300000000000005E-2</v>
      </c>
      <c r="E22" s="117">
        <f t="shared" si="3"/>
        <v>1.2999999999999998E-2</v>
      </c>
      <c r="F22" s="117">
        <f t="shared" si="3"/>
        <v>6.9000000000000034E-3</v>
      </c>
      <c r="G22" s="117">
        <f t="shared" si="3"/>
        <v>3.2000000000000084E-3</v>
      </c>
      <c r="H22" s="117">
        <f t="shared" si="3"/>
        <v>7.060000000000001E-2</v>
      </c>
      <c r="I22" s="117">
        <f t="shared" si="3"/>
        <v>3.1399999999999997E-2</v>
      </c>
      <c r="J22" s="117">
        <f t="shared" si="3"/>
        <v>1.0400000000000006E-2</v>
      </c>
      <c r="K22" s="117">
        <f t="shared" si="3"/>
        <v>1.9000000000000003E-2</v>
      </c>
      <c r="L22" s="117">
        <f t="shared" si="3"/>
        <v>1.2900000000000009E-2</v>
      </c>
      <c r="M22" s="117">
        <f t="shared" si="3"/>
        <v>1.7700000000000007E-2</v>
      </c>
      <c r="N22" s="117">
        <f t="shared" si="3"/>
        <v>1.8500000000000003E-2</v>
      </c>
      <c r="O22" s="117">
        <f t="shared" si="3"/>
        <v>1.2149999999999994E-2</v>
      </c>
      <c r="P22" s="117">
        <f t="shared" si="3"/>
        <v>1.3249999999999998E-2</v>
      </c>
      <c r="Q22" s="117">
        <f t="shared" si="3"/>
        <v>1.0149999999999992E-2</v>
      </c>
      <c r="R22" s="117">
        <f t="shared" si="3"/>
        <v>1.684999999999999E-2</v>
      </c>
      <c r="S22" s="117">
        <f t="shared" si="3"/>
        <v>6.7000000000000115E-3</v>
      </c>
      <c r="T22" s="117">
        <f t="shared" si="3"/>
        <v>1.1700000000000016E-2</v>
      </c>
      <c r="U22" s="117">
        <f t="shared" si="3"/>
        <v>1.620000000000002E-2</v>
      </c>
      <c r="V22" s="117">
        <f t="shared" si="3"/>
        <v>1.9799999999999998E-2</v>
      </c>
      <c r="W22" s="117">
        <f t="shared" si="3"/>
        <v>4.4399999999999981E-2</v>
      </c>
      <c r="X22" s="117">
        <f t="shared" si="3"/>
        <v>4.6399999999999983E-2</v>
      </c>
      <c r="Y22" s="117">
        <f t="shared" si="3"/>
        <v>4.4799999999999993E-2</v>
      </c>
      <c r="Z22" s="117">
        <f t="shared" si="3"/>
        <v>5.0500000000000003E-2</v>
      </c>
      <c r="AA22" s="117">
        <f t="shared" ref="AA22:AD23" si="4">AA14-AA18</f>
        <v>4.6399999999999983E-2</v>
      </c>
      <c r="AB22" s="117">
        <f t="shared" si="4"/>
        <v>4.4899999999999982E-2</v>
      </c>
      <c r="AC22" s="117">
        <f t="shared" si="4"/>
        <v>4.9799999999999997E-2</v>
      </c>
      <c r="AD22" s="117">
        <f t="shared" si="4"/>
        <v>4.0499999999999994E-2</v>
      </c>
      <c r="AE22" s="117">
        <f t="shared" ref="AE22:AF22" si="5">AE14-AE18</f>
        <v>3.0899999999999997E-2</v>
      </c>
      <c r="AF22" s="117">
        <f t="shared" si="5"/>
        <v>2.6599999999999999E-2</v>
      </c>
    </row>
    <row r="23" spans="1:32">
      <c r="A23" s="110" t="s">
        <v>408</v>
      </c>
      <c r="B23" s="110" t="s">
        <v>409</v>
      </c>
      <c r="C23" s="117">
        <f t="shared" si="3"/>
        <v>1.0099999999999998E-2</v>
      </c>
      <c r="D23" s="117">
        <f t="shared" si="3"/>
        <v>7.8000000000000014E-3</v>
      </c>
      <c r="E23" s="117">
        <f t="shared" si="3"/>
        <v>7.0999999999999952E-3</v>
      </c>
      <c r="F23" s="117">
        <f t="shared" si="3"/>
        <v>5.4000000000000159E-3</v>
      </c>
      <c r="G23" s="117">
        <f t="shared" si="3"/>
        <v>2.5999999999999912E-3</v>
      </c>
      <c r="H23" s="117">
        <f t="shared" si="3"/>
        <v>7.6800000000000007E-2</v>
      </c>
      <c r="I23" s="117">
        <f t="shared" si="3"/>
        <v>2.7999999999999997E-2</v>
      </c>
      <c r="J23" s="117">
        <f t="shared" si="3"/>
        <v>4.0000000000000036E-3</v>
      </c>
      <c r="K23" s="117">
        <f t="shared" si="3"/>
        <v>1.1499999999999982E-2</v>
      </c>
      <c r="L23" s="117">
        <f t="shared" si="3"/>
        <v>4.0000000000000036E-3</v>
      </c>
      <c r="M23" s="117">
        <f t="shared" si="3"/>
        <v>8.0999999999999961E-3</v>
      </c>
      <c r="N23" s="117">
        <f t="shared" si="3"/>
        <v>1.9600000000000006E-2</v>
      </c>
      <c r="O23" s="117">
        <f t="shared" si="3"/>
        <v>2.545E-2</v>
      </c>
      <c r="P23" s="117">
        <f t="shared" si="3"/>
        <v>2.5549999999999989E-2</v>
      </c>
      <c r="Q23" s="117">
        <f t="shared" si="3"/>
        <v>2.1350000000000008E-2</v>
      </c>
      <c r="R23" s="117">
        <f t="shared" si="3"/>
        <v>2.7249999999999996E-2</v>
      </c>
      <c r="S23" s="117">
        <f t="shared" si="3"/>
        <v>1.6500000000000015E-2</v>
      </c>
      <c r="T23" s="117">
        <f t="shared" si="3"/>
        <v>2.090000000000003E-2</v>
      </c>
      <c r="U23" s="117">
        <f t="shared" si="3"/>
        <v>2.4900000000000005E-2</v>
      </c>
      <c r="V23" s="117">
        <f t="shared" si="3"/>
        <v>2.6999999999999996E-2</v>
      </c>
      <c r="W23" s="117">
        <f t="shared" si="3"/>
        <v>5.0200000000000009E-2</v>
      </c>
      <c r="X23" s="117">
        <f t="shared" si="3"/>
        <v>5.220000000000001E-2</v>
      </c>
      <c r="Y23" s="117">
        <f t="shared" si="3"/>
        <v>4.9099999999999991E-2</v>
      </c>
      <c r="Z23" s="117">
        <f t="shared" si="3"/>
        <v>5.3500000000000006E-2</v>
      </c>
      <c r="AA23" s="117">
        <f t="shared" si="4"/>
        <v>4.7700000000000006E-2</v>
      </c>
      <c r="AB23" s="117">
        <f t="shared" si="4"/>
        <v>4.4499999999999998E-2</v>
      </c>
      <c r="AC23" s="117">
        <f t="shared" si="4"/>
        <v>4.8000000000000001E-2</v>
      </c>
      <c r="AD23" s="117">
        <f t="shared" si="4"/>
        <v>3.6600000000000008E-2</v>
      </c>
      <c r="AE23" s="117">
        <f t="shared" ref="AE23:AF23" si="6">AE15-AE19</f>
        <v>2.5900000000000006E-2</v>
      </c>
      <c r="AF23" s="117">
        <f t="shared" si="6"/>
        <v>2.0199999999999996E-2</v>
      </c>
    </row>
    <row r="25" spans="1:32">
      <c r="A25" s="110" t="s">
        <v>414</v>
      </c>
      <c r="B25" s="110" t="s">
        <v>415</v>
      </c>
      <c r="K25" s="117">
        <v>8.0199999999999994E-2</v>
      </c>
      <c r="L25" s="117">
        <v>8.8999999999999996E-2</v>
      </c>
      <c r="M25" s="117">
        <v>8.4400000000000003E-2</v>
      </c>
      <c r="N25" s="117">
        <v>8.1100000000000005E-2</v>
      </c>
      <c r="O25" s="117">
        <v>8.0100000000000005E-2</v>
      </c>
      <c r="P25" s="118">
        <v>8.1699999999999995E-2</v>
      </c>
      <c r="Q25" s="118">
        <v>8.2000000000000003E-2</v>
      </c>
      <c r="R25" s="118">
        <v>8.5800000000000001E-2</v>
      </c>
      <c r="S25" s="118">
        <v>8.0399999999999999E-2</v>
      </c>
      <c r="T25" s="118">
        <v>8.0600000000000005E-2</v>
      </c>
      <c r="U25" s="118">
        <v>8.3099999999999993E-2</v>
      </c>
      <c r="V25" s="118">
        <v>8.3400000000000002E-2</v>
      </c>
      <c r="W25" s="116">
        <v>8.1500000000000003E-2</v>
      </c>
      <c r="X25" s="116">
        <v>7.7799999999999994E-2</v>
      </c>
      <c r="Y25" s="116">
        <v>7.8399999999999997E-2</v>
      </c>
      <c r="Z25" s="116">
        <v>7.9600000000000004E-2</v>
      </c>
      <c r="AA25" s="116">
        <v>7.5300000000000006E-2</v>
      </c>
      <c r="AB25" s="116">
        <v>7.6189770441882784E-2</v>
      </c>
      <c r="AC25" s="116">
        <v>7.9699999999999993E-2</v>
      </c>
      <c r="AD25" s="116">
        <v>7.22E-2</v>
      </c>
      <c r="AE25" s="116">
        <v>7.2900000000000006E-2</v>
      </c>
      <c r="AF25" s="116">
        <v>7.22E-2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H35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3" sqref="C13"/>
    </sheetView>
  </sheetViews>
  <sheetFormatPr defaultColWidth="9.28515625" defaultRowHeight="11.4"/>
  <cols>
    <col min="1" max="1" width="33.28515625" style="6" customWidth="1"/>
    <col min="2" max="2" width="51.7109375" style="6" customWidth="1"/>
    <col min="3" max="13" width="7.140625" style="6" bestFit="1" customWidth="1"/>
    <col min="14" max="14" width="7.140625" style="27" bestFit="1" customWidth="1"/>
    <col min="15" max="16" width="7.140625" style="6" bestFit="1" customWidth="1"/>
    <col min="17" max="19" width="7.140625" style="27" bestFit="1" customWidth="1"/>
    <col min="20" max="20" width="7.85546875" style="27" bestFit="1" customWidth="1"/>
    <col min="21" max="30" width="7.140625" style="27" bestFit="1" customWidth="1"/>
    <col min="31" max="16384" width="9.28515625" style="6"/>
  </cols>
  <sheetData>
    <row r="1" spans="1:34" ht="12" thickBot="1">
      <c r="C1" s="111" t="s">
        <v>416</v>
      </c>
      <c r="D1" s="111" t="s">
        <v>417</v>
      </c>
      <c r="E1" s="111" t="s">
        <v>418</v>
      </c>
      <c r="F1" s="111" t="s">
        <v>419</v>
      </c>
      <c r="G1" s="111" t="s">
        <v>420</v>
      </c>
      <c r="H1" s="111" t="s">
        <v>421</v>
      </c>
      <c r="I1" s="111" t="s">
        <v>422</v>
      </c>
      <c r="J1" s="111" t="s">
        <v>423</v>
      </c>
      <c r="K1" s="111" t="s">
        <v>424</v>
      </c>
      <c r="L1" s="111" t="s">
        <v>425</v>
      </c>
      <c r="M1" s="111" t="s">
        <v>426</v>
      </c>
      <c r="N1" s="111" t="s">
        <v>427</v>
      </c>
      <c r="O1" s="111" t="s">
        <v>428</v>
      </c>
      <c r="P1" s="111" t="s">
        <v>429</v>
      </c>
      <c r="Q1" s="111" t="s">
        <v>430</v>
      </c>
      <c r="R1" s="111" t="s">
        <v>431</v>
      </c>
      <c r="S1" s="111" t="s">
        <v>432</v>
      </c>
      <c r="T1" s="111" t="s">
        <v>433</v>
      </c>
      <c r="U1" s="111" t="s">
        <v>434</v>
      </c>
      <c r="V1" s="111" t="s">
        <v>435</v>
      </c>
      <c r="W1" s="111" t="s">
        <v>436</v>
      </c>
      <c r="X1" s="111" t="s">
        <v>437</v>
      </c>
      <c r="Y1" s="111" t="s">
        <v>438</v>
      </c>
      <c r="Z1" s="111" t="s">
        <v>439</v>
      </c>
      <c r="AA1" s="111" t="s">
        <v>440</v>
      </c>
      <c r="AB1" s="111" t="s">
        <v>441</v>
      </c>
      <c r="AC1" s="111" t="s">
        <v>442</v>
      </c>
      <c r="AD1" s="111" t="s">
        <v>472</v>
      </c>
      <c r="AE1" s="111" t="s">
        <v>501</v>
      </c>
      <c r="AF1" s="111" t="s">
        <v>503</v>
      </c>
      <c r="AG1" s="127"/>
      <c r="AH1" s="127"/>
    </row>
    <row r="2" spans="1:34" ht="19.8" thickBot="1">
      <c r="B2" s="5"/>
      <c r="C2" s="111" t="s">
        <v>443</v>
      </c>
      <c r="D2" s="111" t="s">
        <v>444</v>
      </c>
      <c r="E2" s="111" t="s">
        <v>445</v>
      </c>
      <c r="F2" s="111" t="s">
        <v>446</v>
      </c>
      <c r="G2" s="111" t="s">
        <v>447</v>
      </c>
      <c r="H2" s="111" t="s">
        <v>448</v>
      </c>
      <c r="I2" s="111" t="s">
        <v>449</v>
      </c>
      <c r="J2" s="111" t="s">
        <v>450</v>
      </c>
      <c r="K2" s="111" t="s">
        <v>451</v>
      </c>
      <c r="L2" s="111" t="s">
        <v>452</v>
      </c>
      <c r="M2" s="111" t="s">
        <v>453</v>
      </c>
      <c r="N2" s="111" t="s">
        <v>454</v>
      </c>
      <c r="O2" s="111" t="s">
        <v>455</v>
      </c>
      <c r="P2" s="111" t="s">
        <v>456</v>
      </c>
      <c r="Q2" s="111" t="s">
        <v>457</v>
      </c>
      <c r="R2" s="111" t="s">
        <v>458</v>
      </c>
      <c r="S2" s="111" t="s">
        <v>459</v>
      </c>
      <c r="T2" s="111" t="s">
        <v>460</v>
      </c>
      <c r="U2" s="111" t="s">
        <v>461</v>
      </c>
      <c r="V2" s="111" t="s">
        <v>462</v>
      </c>
      <c r="W2" s="111" t="s">
        <v>463</v>
      </c>
      <c r="X2" s="111" t="s">
        <v>464</v>
      </c>
      <c r="Y2" s="111" t="s">
        <v>465</v>
      </c>
      <c r="Z2" s="111" t="s">
        <v>466</v>
      </c>
      <c r="AA2" s="111" t="s">
        <v>467</v>
      </c>
      <c r="AB2" s="111" t="s">
        <v>468</v>
      </c>
      <c r="AC2" s="111" t="s">
        <v>469</v>
      </c>
      <c r="AD2" s="111" t="s">
        <v>471</v>
      </c>
      <c r="AE2" s="111" t="s">
        <v>502</v>
      </c>
      <c r="AF2" s="111" t="s">
        <v>504</v>
      </c>
    </row>
    <row r="3" spans="1:34">
      <c r="A3" s="6" t="s">
        <v>201</v>
      </c>
      <c r="B3" s="28" t="s">
        <v>0</v>
      </c>
      <c r="C3" s="29">
        <v>556125</v>
      </c>
      <c r="D3" s="30">
        <v>596336</v>
      </c>
      <c r="E3" s="29">
        <v>614421</v>
      </c>
      <c r="F3" s="30">
        <v>632338</v>
      </c>
      <c r="G3" s="29">
        <v>578002</v>
      </c>
      <c r="H3" s="30">
        <v>614131</v>
      </c>
      <c r="I3" s="29">
        <v>655890</v>
      </c>
      <c r="J3" s="30">
        <v>795858</v>
      </c>
      <c r="K3" s="29">
        <v>867326</v>
      </c>
      <c r="L3" s="30">
        <v>892704</v>
      </c>
      <c r="M3" s="29">
        <v>903610</v>
      </c>
      <c r="N3" s="30">
        <v>937491</v>
      </c>
      <c r="O3" s="29">
        <v>912897</v>
      </c>
      <c r="P3" s="30">
        <v>939599</v>
      </c>
      <c r="Q3" s="29">
        <v>957980</v>
      </c>
      <c r="R3" s="30">
        <f>982068+12913</f>
        <v>994981</v>
      </c>
      <c r="S3" s="25">
        <v>986612</v>
      </c>
      <c r="T3" s="30">
        <v>1010905</v>
      </c>
      <c r="U3" s="29">
        <v>985175</v>
      </c>
      <c r="V3" s="30">
        <v>925973</v>
      </c>
      <c r="W3" s="29">
        <v>937951</v>
      </c>
      <c r="X3" s="30">
        <v>821385</v>
      </c>
      <c r="Y3" s="29">
        <v>726585</v>
      </c>
      <c r="Z3" s="30">
        <v>675492</v>
      </c>
      <c r="AA3" s="29">
        <v>682536</v>
      </c>
      <c r="AB3" s="30">
        <v>669132</v>
      </c>
      <c r="AC3" s="29">
        <v>697571</v>
      </c>
      <c r="AD3" s="30">
        <v>788065</v>
      </c>
      <c r="AE3" s="29">
        <v>1023103</v>
      </c>
      <c r="AF3" s="30">
        <v>1339506</v>
      </c>
    </row>
    <row r="4" spans="1:34">
      <c r="A4" s="6" t="s">
        <v>202</v>
      </c>
      <c r="B4" s="28" t="s">
        <v>14</v>
      </c>
      <c r="C4" s="29" t="s">
        <v>100</v>
      </c>
      <c r="D4" s="30" t="s">
        <v>100</v>
      </c>
      <c r="E4" s="29" t="s">
        <v>100</v>
      </c>
      <c r="F4" s="30" t="s">
        <v>100</v>
      </c>
      <c r="G4" s="29" t="s">
        <v>100</v>
      </c>
      <c r="H4" s="30" t="s">
        <v>100</v>
      </c>
      <c r="I4" s="29" t="s">
        <v>100</v>
      </c>
      <c r="J4" s="30" t="s">
        <v>100</v>
      </c>
      <c r="K4" s="29" t="s">
        <v>100</v>
      </c>
      <c r="L4" s="30" t="s">
        <v>100</v>
      </c>
      <c r="M4" s="29" t="s">
        <v>100</v>
      </c>
      <c r="N4" s="30" t="s">
        <v>100</v>
      </c>
      <c r="O4" s="29">
        <v>35078</v>
      </c>
      <c r="P4" s="30">
        <v>52175</v>
      </c>
      <c r="Q4" s="29">
        <v>38463</v>
      </c>
      <c r="R4" s="30">
        <f>38112-12913</f>
        <v>25199</v>
      </c>
      <c r="S4" s="25">
        <v>33474</v>
      </c>
      <c r="T4" s="30">
        <f>Odsetki!T22</f>
        <v>35442</v>
      </c>
      <c r="U4" s="29">
        <f>Odsetki!U22</f>
        <v>44164</v>
      </c>
      <c r="V4" s="30">
        <v>40445</v>
      </c>
      <c r="W4" s="29">
        <v>22486</v>
      </c>
      <c r="X4" s="30">
        <v>38304</v>
      </c>
      <c r="Y4" s="29">
        <v>54324</v>
      </c>
      <c r="Z4" s="30">
        <v>58714</v>
      </c>
      <c r="AA4" s="29">
        <v>62130</v>
      </c>
      <c r="AB4" s="30">
        <v>48787</v>
      </c>
      <c r="AC4" s="29">
        <v>52444</v>
      </c>
      <c r="AD4" s="30">
        <v>35977</v>
      </c>
      <c r="AE4" s="29">
        <v>22660</v>
      </c>
      <c r="AF4" s="30">
        <v>9985</v>
      </c>
    </row>
    <row r="5" spans="1:34">
      <c r="A5" s="6" t="s">
        <v>203</v>
      </c>
      <c r="B5" s="28" t="s">
        <v>1</v>
      </c>
      <c r="C5" s="29">
        <v>-211821</v>
      </c>
      <c r="D5" s="30">
        <v>-222926</v>
      </c>
      <c r="E5" s="29">
        <v>-230697</v>
      </c>
      <c r="F5" s="30">
        <v>-232763</v>
      </c>
      <c r="G5" s="29">
        <v>-165508</v>
      </c>
      <c r="H5" s="30">
        <v>-169958</v>
      </c>
      <c r="I5" s="29">
        <v>-165380</v>
      </c>
      <c r="J5" s="30">
        <v>-196986</v>
      </c>
      <c r="K5" s="29">
        <v>-204313</v>
      </c>
      <c r="L5" s="30">
        <v>-170049</v>
      </c>
      <c r="M5" s="29">
        <v>-175482</v>
      </c>
      <c r="N5" s="30">
        <v>-195146</v>
      </c>
      <c r="O5" s="29">
        <v>-210323</v>
      </c>
      <c r="P5" s="30">
        <v>-228486</v>
      </c>
      <c r="Q5" s="29">
        <v>-213747</v>
      </c>
      <c r="R5" s="30">
        <v>-219292</v>
      </c>
      <c r="S5" s="25">
        <v>-216279</v>
      </c>
      <c r="T5" s="30">
        <v>-217172</v>
      </c>
      <c r="U5" s="29">
        <v>-226328</v>
      </c>
      <c r="V5" s="30">
        <v>-218067</v>
      </c>
      <c r="W5" s="29">
        <v>-183553</v>
      </c>
      <c r="X5" s="30">
        <v>-137708</v>
      </c>
      <c r="Y5" s="29">
        <v>-97794</v>
      </c>
      <c r="Z5" s="30">
        <v>-67460</v>
      </c>
      <c r="AA5" s="29">
        <v>-74488</v>
      </c>
      <c r="AB5" s="30">
        <v>-51260</v>
      </c>
      <c r="AC5" s="29">
        <v>-46495</v>
      </c>
      <c r="AD5" s="30">
        <v>-66165</v>
      </c>
      <c r="AE5" s="29">
        <v>-183412</v>
      </c>
      <c r="AF5" s="30">
        <v>-377730</v>
      </c>
    </row>
    <row r="6" spans="1:34">
      <c r="A6" s="6" t="s">
        <v>204</v>
      </c>
      <c r="B6" s="31" t="s">
        <v>2</v>
      </c>
      <c r="C6" s="32">
        <f t="shared" ref="C6:R6" si="0">SUM(C3:C5)</f>
        <v>344304</v>
      </c>
      <c r="D6" s="32">
        <f t="shared" si="0"/>
        <v>373410</v>
      </c>
      <c r="E6" s="32">
        <f t="shared" si="0"/>
        <v>383724</v>
      </c>
      <c r="F6" s="32">
        <f t="shared" si="0"/>
        <v>399575</v>
      </c>
      <c r="G6" s="32">
        <f t="shared" si="0"/>
        <v>412494</v>
      </c>
      <c r="H6" s="32">
        <f t="shared" si="0"/>
        <v>444173</v>
      </c>
      <c r="I6" s="32">
        <f t="shared" si="0"/>
        <v>490510</v>
      </c>
      <c r="J6" s="32">
        <f t="shared" si="0"/>
        <v>598872</v>
      </c>
      <c r="K6" s="32">
        <f t="shared" si="0"/>
        <v>663013</v>
      </c>
      <c r="L6" s="32">
        <f t="shared" si="0"/>
        <v>722655</v>
      </c>
      <c r="M6" s="32">
        <f t="shared" si="0"/>
        <v>728128</v>
      </c>
      <c r="N6" s="32">
        <f t="shared" si="0"/>
        <v>742345</v>
      </c>
      <c r="O6" s="32">
        <f t="shared" si="0"/>
        <v>737652</v>
      </c>
      <c r="P6" s="32">
        <f t="shared" si="0"/>
        <v>763288</v>
      </c>
      <c r="Q6" s="32">
        <f t="shared" si="0"/>
        <v>782696</v>
      </c>
      <c r="R6" s="32">
        <f t="shared" si="0"/>
        <v>800888</v>
      </c>
      <c r="S6" s="26">
        <v>803807</v>
      </c>
      <c r="T6" s="32">
        <f>SUM(T3:T5)</f>
        <v>829175</v>
      </c>
      <c r="U6" s="35">
        <f>SUM(U3:U5)</f>
        <v>803011</v>
      </c>
      <c r="V6" s="35">
        <f>SUM(V3:V5)</f>
        <v>748351</v>
      </c>
      <c r="W6" s="35">
        <f>SUM(W3:W5)</f>
        <v>776884</v>
      </c>
      <c r="X6" s="32">
        <v>721981</v>
      </c>
      <c r="Y6" s="35">
        <v>683115</v>
      </c>
      <c r="Z6" s="32">
        <v>666746</v>
      </c>
      <c r="AA6" s="35">
        <f t="shared" ref="AA6:AF6" si="1">SUM(AA3:AA5)</f>
        <v>670178</v>
      </c>
      <c r="AB6" s="35">
        <f t="shared" si="1"/>
        <v>666659</v>
      </c>
      <c r="AC6" s="35">
        <f t="shared" si="1"/>
        <v>703520</v>
      </c>
      <c r="AD6" s="35">
        <f t="shared" si="1"/>
        <v>757877</v>
      </c>
      <c r="AE6" s="35">
        <f t="shared" si="1"/>
        <v>862351</v>
      </c>
      <c r="AF6" s="35">
        <f t="shared" si="1"/>
        <v>971761</v>
      </c>
    </row>
    <row r="7" spans="1:34">
      <c r="A7" s="6" t="s">
        <v>205</v>
      </c>
      <c r="B7" s="33" t="s">
        <v>4</v>
      </c>
      <c r="C7" s="29">
        <v>135582</v>
      </c>
      <c r="D7" s="30">
        <v>124811</v>
      </c>
      <c r="E7" s="29">
        <v>144977</v>
      </c>
      <c r="F7" s="30">
        <v>140360</v>
      </c>
      <c r="G7" s="29">
        <v>137970</v>
      </c>
      <c r="H7" s="30">
        <v>137134</v>
      </c>
      <c r="I7" s="29">
        <v>135490</v>
      </c>
      <c r="J7" s="30">
        <v>180107</v>
      </c>
      <c r="K7" s="29">
        <v>189088</v>
      </c>
      <c r="L7" s="30">
        <v>203275</v>
      </c>
      <c r="M7" s="29">
        <v>201424</v>
      </c>
      <c r="N7" s="30">
        <v>211816</v>
      </c>
      <c r="O7" s="29">
        <v>264369</v>
      </c>
      <c r="P7" s="30">
        <v>265023</v>
      </c>
      <c r="Q7" s="29">
        <v>283467</v>
      </c>
      <c r="R7" s="30">
        <v>286609</v>
      </c>
      <c r="S7" s="25">
        <v>266948</v>
      </c>
      <c r="T7" s="30">
        <v>284261</v>
      </c>
      <c r="U7" s="29">
        <v>302209</v>
      </c>
      <c r="V7" s="30">
        <v>303634</v>
      </c>
      <c r="W7" s="29">
        <v>269347</v>
      </c>
      <c r="X7" s="30">
        <v>294250</v>
      </c>
      <c r="Y7" s="29">
        <v>329428</v>
      </c>
      <c r="Z7" s="30">
        <v>322724</v>
      </c>
      <c r="AA7" s="29">
        <v>316398</v>
      </c>
      <c r="AB7" s="30">
        <v>345200</v>
      </c>
      <c r="AC7" s="29">
        <v>380365</v>
      </c>
      <c r="AD7" s="30">
        <v>399551</v>
      </c>
      <c r="AE7" s="29">
        <v>371419</v>
      </c>
      <c r="AF7" s="30">
        <v>432416</v>
      </c>
    </row>
    <row r="8" spans="1:34">
      <c r="A8" s="6" t="s">
        <v>206</v>
      </c>
      <c r="B8" s="33" t="s">
        <v>5</v>
      </c>
      <c r="C8" s="29">
        <v>-42799</v>
      </c>
      <c r="D8" s="30">
        <v>-54485</v>
      </c>
      <c r="E8" s="29">
        <v>-55868</v>
      </c>
      <c r="F8" s="30">
        <v>-60910</v>
      </c>
      <c r="G8" s="29">
        <v>-50709</v>
      </c>
      <c r="H8" s="30">
        <v>-60976</v>
      </c>
      <c r="I8" s="29">
        <v>-59329</v>
      </c>
      <c r="J8" s="30">
        <v>-88553</v>
      </c>
      <c r="K8" s="29">
        <v>-78059</v>
      </c>
      <c r="L8" s="30">
        <v>-91077</v>
      </c>
      <c r="M8" s="29">
        <v>-104094</v>
      </c>
      <c r="N8" s="30">
        <v>-101622</v>
      </c>
      <c r="O8" s="29">
        <v>-87495</v>
      </c>
      <c r="P8" s="30">
        <v>-94428</v>
      </c>
      <c r="Q8" s="29">
        <v>-104905</v>
      </c>
      <c r="R8" s="30">
        <v>-102641</v>
      </c>
      <c r="S8" s="25">
        <v>-97084</v>
      </c>
      <c r="T8" s="30">
        <v>-127451</v>
      </c>
      <c r="U8" s="29">
        <v>-131965</v>
      </c>
      <c r="V8" s="30">
        <v>-142494</v>
      </c>
      <c r="W8" s="29">
        <v>-134176</v>
      </c>
      <c r="X8" s="30">
        <v>-139666</v>
      </c>
      <c r="Y8" s="29">
        <v>-160326</v>
      </c>
      <c r="Z8" s="30">
        <v>-145735</v>
      </c>
      <c r="AA8" s="29">
        <v>-138688</v>
      </c>
      <c r="AB8" s="30">
        <v>-161822</v>
      </c>
      <c r="AC8" s="29">
        <v>-190777</v>
      </c>
      <c r="AD8" s="30">
        <v>-183479</v>
      </c>
      <c r="AE8" s="29">
        <v>-180742</v>
      </c>
      <c r="AF8" s="30">
        <v>-211816</v>
      </c>
    </row>
    <row r="9" spans="1:34">
      <c r="A9" s="6" t="s">
        <v>207</v>
      </c>
      <c r="B9" s="31" t="s">
        <v>99</v>
      </c>
      <c r="C9" s="32">
        <f t="shared" ref="C9:R9" si="2">SUM(C7:C8)</f>
        <v>92783</v>
      </c>
      <c r="D9" s="32">
        <f t="shared" si="2"/>
        <v>70326</v>
      </c>
      <c r="E9" s="32">
        <f t="shared" si="2"/>
        <v>89109</v>
      </c>
      <c r="F9" s="32">
        <f t="shared" si="2"/>
        <v>79450</v>
      </c>
      <c r="G9" s="32">
        <f t="shared" si="2"/>
        <v>87261</v>
      </c>
      <c r="H9" s="32">
        <f t="shared" si="2"/>
        <v>76158</v>
      </c>
      <c r="I9" s="32">
        <f t="shared" si="2"/>
        <v>76161</v>
      </c>
      <c r="J9" s="32">
        <f t="shared" si="2"/>
        <v>91554</v>
      </c>
      <c r="K9" s="32">
        <f t="shared" si="2"/>
        <v>111029</v>
      </c>
      <c r="L9" s="32">
        <f t="shared" si="2"/>
        <v>112198</v>
      </c>
      <c r="M9" s="32">
        <f t="shared" si="2"/>
        <v>97330</v>
      </c>
      <c r="N9" s="32">
        <f t="shared" si="2"/>
        <v>110194</v>
      </c>
      <c r="O9" s="32">
        <f t="shared" si="2"/>
        <v>176874</v>
      </c>
      <c r="P9" s="32">
        <f t="shared" si="2"/>
        <v>170595</v>
      </c>
      <c r="Q9" s="32">
        <f t="shared" si="2"/>
        <v>178562</v>
      </c>
      <c r="R9" s="32">
        <f t="shared" si="2"/>
        <v>183968</v>
      </c>
      <c r="S9" s="35">
        <f t="shared" ref="S9:AD9" si="3">S7+S8</f>
        <v>169864</v>
      </c>
      <c r="T9" s="35">
        <f t="shared" si="3"/>
        <v>156810</v>
      </c>
      <c r="U9" s="35">
        <f t="shared" si="3"/>
        <v>170244</v>
      </c>
      <c r="V9" s="35">
        <f t="shared" si="3"/>
        <v>161140</v>
      </c>
      <c r="W9" s="35">
        <f t="shared" si="3"/>
        <v>135171</v>
      </c>
      <c r="X9" s="35">
        <f t="shared" si="3"/>
        <v>154584</v>
      </c>
      <c r="Y9" s="35">
        <f t="shared" si="3"/>
        <v>169102</v>
      </c>
      <c r="Z9" s="35">
        <f t="shared" si="3"/>
        <v>176989</v>
      </c>
      <c r="AA9" s="35">
        <f t="shared" si="3"/>
        <v>177710</v>
      </c>
      <c r="AB9" s="35">
        <f t="shared" si="3"/>
        <v>183378</v>
      </c>
      <c r="AC9" s="35">
        <f t="shared" si="3"/>
        <v>189588</v>
      </c>
      <c r="AD9" s="35">
        <f t="shared" si="3"/>
        <v>216072</v>
      </c>
      <c r="AE9" s="35">
        <f t="shared" ref="AE9:AF9" si="4">AE7+AE8</f>
        <v>190677</v>
      </c>
      <c r="AF9" s="35">
        <f t="shared" si="4"/>
        <v>220600</v>
      </c>
    </row>
    <row r="10" spans="1:34">
      <c r="A10" s="6" t="s">
        <v>208</v>
      </c>
      <c r="B10" s="33" t="s">
        <v>3</v>
      </c>
      <c r="C10" s="29">
        <v>0</v>
      </c>
      <c r="D10" s="30">
        <v>42</v>
      </c>
      <c r="E10" s="29">
        <v>22</v>
      </c>
      <c r="F10" s="30">
        <v>10</v>
      </c>
      <c r="G10" s="29">
        <v>0</v>
      </c>
      <c r="H10" s="30">
        <v>34</v>
      </c>
      <c r="I10" s="29">
        <v>17</v>
      </c>
      <c r="J10" s="30">
        <v>17</v>
      </c>
      <c r="K10" s="29">
        <v>0</v>
      </c>
      <c r="L10" s="30">
        <v>2</v>
      </c>
      <c r="M10" s="29">
        <v>25</v>
      </c>
      <c r="N10" s="30">
        <v>4</v>
      </c>
      <c r="O10" s="29">
        <v>0</v>
      </c>
      <c r="P10" s="30">
        <v>94</v>
      </c>
      <c r="Q10" s="29">
        <v>49</v>
      </c>
      <c r="R10" s="30">
        <v>132</v>
      </c>
      <c r="S10" s="25">
        <v>0</v>
      </c>
      <c r="T10" s="30">
        <v>173</v>
      </c>
      <c r="U10" s="29">
        <v>84</v>
      </c>
      <c r="V10" s="30">
        <v>87</v>
      </c>
      <c r="W10" s="29">
        <v>114</v>
      </c>
      <c r="X10" s="30">
        <v>107</v>
      </c>
      <c r="Y10" s="29">
        <v>373</v>
      </c>
      <c r="Z10" s="30">
        <v>106</v>
      </c>
      <c r="AA10" s="29">
        <v>106</v>
      </c>
      <c r="AB10" s="30">
        <v>171</v>
      </c>
      <c r="AC10" s="29">
        <v>120</v>
      </c>
      <c r="AD10" s="30">
        <v>135</v>
      </c>
      <c r="AE10" s="29">
        <v>139</v>
      </c>
      <c r="AF10" s="30">
        <v>152</v>
      </c>
    </row>
    <row r="11" spans="1:34" ht="22.8">
      <c r="A11" s="6" t="s">
        <v>209</v>
      </c>
      <c r="B11" s="33" t="s">
        <v>18</v>
      </c>
      <c r="C11" s="29">
        <v>64392</v>
      </c>
      <c r="D11" s="30">
        <v>71424</v>
      </c>
      <c r="E11" s="29">
        <v>58030</v>
      </c>
      <c r="F11" s="30">
        <v>74833</v>
      </c>
      <c r="G11" s="29">
        <v>58317</v>
      </c>
      <c r="H11" s="30">
        <v>72819</v>
      </c>
      <c r="I11" s="29">
        <v>78177</v>
      </c>
      <c r="J11" s="30">
        <v>111196</v>
      </c>
      <c r="K11" s="29">
        <v>65561</v>
      </c>
      <c r="L11" s="30">
        <v>90085</v>
      </c>
      <c r="M11" s="29">
        <v>88864</v>
      </c>
      <c r="N11" s="30">
        <v>93323</v>
      </c>
      <c r="O11" s="29">
        <v>9990</v>
      </c>
      <c r="P11" s="30">
        <v>43028</v>
      </c>
      <c r="Q11" s="29">
        <v>28712</v>
      </c>
      <c r="R11" s="30">
        <v>15954</v>
      </c>
      <c r="S11" s="25">
        <v>22686</v>
      </c>
      <c r="T11" s="30">
        <v>10580</v>
      </c>
      <c r="U11" s="29">
        <v>14863</v>
      </c>
      <c r="V11" s="30">
        <v>53881</v>
      </c>
      <c r="W11" s="29">
        <v>1339</v>
      </c>
      <c r="X11" s="30">
        <v>15004</v>
      </c>
      <c r="Y11" s="29">
        <v>19743</v>
      </c>
      <c r="Z11" s="30">
        <v>42984</v>
      </c>
      <c r="AA11" s="29">
        <v>18731</v>
      </c>
      <c r="AB11" s="30">
        <v>34438</v>
      </c>
      <c r="AC11" s="29">
        <v>28061</v>
      </c>
      <c r="AD11" s="30">
        <v>5919</v>
      </c>
      <c r="AE11" s="29">
        <v>37795</v>
      </c>
      <c r="AF11" s="30">
        <v>-3901</v>
      </c>
    </row>
    <row r="12" spans="1:34">
      <c r="A12" s="6" t="s">
        <v>224</v>
      </c>
      <c r="B12" s="33" t="s">
        <v>6</v>
      </c>
      <c r="C12" s="29">
        <v>4848</v>
      </c>
      <c r="D12" s="30">
        <v>-503</v>
      </c>
      <c r="E12" s="29">
        <v>3145</v>
      </c>
      <c r="F12" s="30">
        <v>5433</v>
      </c>
      <c r="G12" s="29">
        <v>10610</v>
      </c>
      <c r="H12" s="30">
        <v>10156</v>
      </c>
      <c r="I12" s="29">
        <v>214</v>
      </c>
      <c r="J12" s="30">
        <v>939</v>
      </c>
      <c r="K12" s="29">
        <v>454</v>
      </c>
      <c r="L12" s="30">
        <v>712</v>
      </c>
      <c r="M12" s="29">
        <v>814</v>
      </c>
      <c r="N12" s="30">
        <v>4928</v>
      </c>
      <c r="O12" s="29" t="s">
        <v>100</v>
      </c>
      <c r="P12" s="30" t="s">
        <v>100</v>
      </c>
      <c r="Q12" s="29" t="s">
        <v>100</v>
      </c>
      <c r="R12" s="30" t="s">
        <v>100</v>
      </c>
      <c r="S12" s="29" t="s">
        <v>100</v>
      </c>
      <c r="T12" s="30" t="s">
        <v>100</v>
      </c>
      <c r="U12" s="29" t="s">
        <v>100</v>
      </c>
      <c r="V12" s="30" t="s">
        <v>100</v>
      </c>
      <c r="W12" s="29" t="s">
        <v>100</v>
      </c>
      <c r="X12" s="30" t="s">
        <v>100</v>
      </c>
      <c r="Y12" s="29" t="s">
        <v>100</v>
      </c>
      <c r="Z12" s="30" t="s">
        <v>100</v>
      </c>
      <c r="AA12" s="29" t="s">
        <v>100</v>
      </c>
      <c r="AB12" s="30" t="s">
        <v>100</v>
      </c>
      <c r="AC12" s="29" t="s">
        <v>100</v>
      </c>
      <c r="AD12" s="30" t="s">
        <v>100</v>
      </c>
      <c r="AE12" s="29" t="s">
        <v>100</v>
      </c>
      <c r="AF12" s="30" t="s">
        <v>100</v>
      </c>
    </row>
    <row r="13" spans="1:34" ht="34.200000000000003">
      <c r="A13" s="6" t="s">
        <v>210</v>
      </c>
      <c r="B13" s="31" t="s">
        <v>368</v>
      </c>
      <c r="C13" s="32" t="s">
        <v>100</v>
      </c>
      <c r="D13" s="32" t="s">
        <v>100</v>
      </c>
      <c r="E13" s="32" t="s">
        <v>100</v>
      </c>
      <c r="F13" s="32" t="s">
        <v>100</v>
      </c>
      <c r="G13" s="32" t="s">
        <v>100</v>
      </c>
      <c r="H13" s="32" t="s">
        <v>100</v>
      </c>
      <c r="I13" s="32" t="s">
        <v>100</v>
      </c>
      <c r="J13" s="32" t="s">
        <v>100</v>
      </c>
      <c r="K13" s="32" t="s">
        <v>100</v>
      </c>
      <c r="L13" s="32" t="s">
        <v>100</v>
      </c>
      <c r="M13" s="32" t="s">
        <v>100</v>
      </c>
      <c r="N13" s="32" t="s">
        <v>100</v>
      </c>
      <c r="O13" s="32">
        <f>SUM(O14:O15)</f>
        <v>11545</v>
      </c>
      <c r="P13" s="32">
        <f>SUM(P14:P15)</f>
        <v>21249</v>
      </c>
      <c r="Q13" s="32">
        <f>SUM(Q14:Q15)</f>
        <v>7658</v>
      </c>
      <c r="R13" s="32">
        <f>SUM(R14:R15)</f>
        <v>37377</v>
      </c>
      <c r="S13" s="26">
        <v>17295</v>
      </c>
      <c r="T13" s="32">
        <f>SUM(T14:T15)</f>
        <v>4463</v>
      </c>
      <c r="U13" s="35">
        <v>7373</v>
      </c>
      <c r="V13" s="32">
        <v>17105</v>
      </c>
      <c r="W13" s="35">
        <f>W14+W15</f>
        <v>29261</v>
      </c>
      <c r="X13" s="32">
        <f>X14+X15</f>
        <v>-2643</v>
      </c>
      <c r="Y13" s="35">
        <v>9472</v>
      </c>
      <c r="Z13" s="32">
        <f t="shared" ref="Z13:AE13" si="5">Z14+Z15</f>
        <v>48463</v>
      </c>
      <c r="AA13" s="35">
        <f t="shared" si="5"/>
        <v>174</v>
      </c>
      <c r="AB13" s="32">
        <f t="shared" si="5"/>
        <v>2120</v>
      </c>
      <c r="AC13" s="35">
        <f t="shared" si="5"/>
        <v>3499</v>
      </c>
      <c r="AD13" s="32">
        <f t="shared" si="5"/>
        <v>-500</v>
      </c>
      <c r="AE13" s="35">
        <f t="shared" si="5"/>
        <v>290</v>
      </c>
      <c r="AF13" s="32">
        <f t="shared" ref="AF13" si="6">AF14+AF15</f>
        <v>1194</v>
      </c>
    </row>
    <row r="14" spans="1:34">
      <c r="A14" s="6" t="s">
        <v>211</v>
      </c>
      <c r="B14" s="33" t="s">
        <v>17</v>
      </c>
      <c r="C14" s="29" t="s">
        <v>100</v>
      </c>
      <c r="D14" s="30" t="s">
        <v>100</v>
      </c>
      <c r="E14" s="29" t="s">
        <v>100</v>
      </c>
      <c r="F14" s="30" t="s">
        <v>100</v>
      </c>
      <c r="G14" s="29" t="s">
        <v>100</v>
      </c>
      <c r="H14" s="30" t="s">
        <v>100</v>
      </c>
      <c r="I14" s="29" t="s">
        <v>100</v>
      </c>
      <c r="J14" s="30" t="s">
        <v>100</v>
      </c>
      <c r="K14" s="29" t="s">
        <v>100</v>
      </c>
      <c r="L14" s="30" t="s">
        <v>100</v>
      </c>
      <c r="M14" s="29" t="s">
        <v>100</v>
      </c>
      <c r="N14" s="30" t="s">
        <v>100</v>
      </c>
      <c r="O14" s="29">
        <v>11185</v>
      </c>
      <c r="P14" s="30">
        <v>20927</v>
      </c>
      <c r="Q14" s="29">
        <v>7320</v>
      </c>
      <c r="R14" s="30">
        <v>37041</v>
      </c>
      <c r="S14" s="25">
        <v>10423</v>
      </c>
      <c r="T14" s="30">
        <v>4277</v>
      </c>
      <c r="U14" s="29">
        <v>7000</v>
      </c>
      <c r="V14" s="30">
        <v>17107</v>
      </c>
      <c r="W14" s="29">
        <v>5547</v>
      </c>
      <c r="X14" s="30">
        <v>-2740</v>
      </c>
      <c r="Y14" s="29">
        <v>9409</v>
      </c>
      <c r="Z14" s="30">
        <v>48391</v>
      </c>
      <c r="AA14" s="29">
        <v>61</v>
      </c>
      <c r="AB14" s="30">
        <v>257</v>
      </c>
      <c r="AC14" s="29">
        <v>3471</v>
      </c>
      <c r="AD14" s="30">
        <v>-543</v>
      </c>
      <c r="AE14" s="29">
        <v>218</v>
      </c>
      <c r="AF14" s="30">
        <v>994</v>
      </c>
    </row>
    <row r="15" spans="1:34">
      <c r="A15" s="6" t="s">
        <v>212</v>
      </c>
      <c r="B15" s="33" t="s">
        <v>15</v>
      </c>
      <c r="C15" s="29" t="s">
        <v>100</v>
      </c>
      <c r="D15" s="30" t="s">
        <v>100</v>
      </c>
      <c r="E15" s="29" t="s">
        <v>100</v>
      </c>
      <c r="F15" s="30" t="s">
        <v>100</v>
      </c>
      <c r="G15" s="29" t="s">
        <v>100</v>
      </c>
      <c r="H15" s="30" t="s">
        <v>100</v>
      </c>
      <c r="I15" s="29" t="s">
        <v>100</v>
      </c>
      <c r="J15" s="30" t="s">
        <v>100</v>
      </c>
      <c r="K15" s="29" t="s">
        <v>100</v>
      </c>
      <c r="L15" s="30" t="s">
        <v>100</v>
      </c>
      <c r="M15" s="29" t="s">
        <v>100</v>
      </c>
      <c r="N15" s="30" t="s">
        <v>100</v>
      </c>
      <c r="O15" s="29">
        <v>360</v>
      </c>
      <c r="P15" s="30">
        <v>322</v>
      </c>
      <c r="Q15" s="29">
        <v>338</v>
      </c>
      <c r="R15" s="30">
        <v>336</v>
      </c>
      <c r="S15" s="25">
        <v>6872</v>
      </c>
      <c r="T15" s="30">
        <v>186</v>
      </c>
      <c r="U15" s="29">
        <v>373</v>
      </c>
      <c r="V15" s="30">
        <v>-2</v>
      </c>
      <c r="W15" s="29">
        <v>23714</v>
      </c>
      <c r="X15" s="30">
        <v>97</v>
      </c>
      <c r="Y15" s="29">
        <v>63</v>
      </c>
      <c r="Z15" s="30">
        <v>72</v>
      </c>
      <c r="AA15" s="29">
        <v>113</v>
      </c>
      <c r="AB15" s="30">
        <v>1863</v>
      </c>
      <c r="AC15" s="29">
        <v>28</v>
      </c>
      <c r="AD15" s="30">
        <v>43</v>
      </c>
      <c r="AE15" s="29">
        <v>72</v>
      </c>
      <c r="AF15" s="30">
        <v>200</v>
      </c>
    </row>
    <row r="16" spans="1:34">
      <c r="A16" s="6" t="s">
        <v>213</v>
      </c>
      <c r="B16" s="33" t="s">
        <v>7</v>
      </c>
      <c r="C16" s="29">
        <v>19226</v>
      </c>
      <c r="D16" s="30">
        <v>31821</v>
      </c>
      <c r="E16" s="29">
        <v>17143</v>
      </c>
      <c r="F16" s="30">
        <v>13694</v>
      </c>
      <c r="G16" s="29">
        <v>15215</v>
      </c>
      <c r="H16" s="30">
        <v>18505</v>
      </c>
      <c r="I16" s="29">
        <v>16342</v>
      </c>
      <c r="J16" s="30">
        <v>63022</v>
      </c>
      <c r="K16" s="29">
        <v>32319</v>
      </c>
      <c r="L16" s="30">
        <v>28055</v>
      </c>
      <c r="M16" s="29">
        <v>27635</v>
      </c>
      <c r="N16" s="30">
        <v>24387</v>
      </c>
      <c r="O16" s="29">
        <v>48955</v>
      </c>
      <c r="P16" s="30">
        <v>25718</v>
      </c>
      <c r="Q16" s="29">
        <v>19887</v>
      </c>
      <c r="R16" s="30">
        <v>32485</v>
      </c>
      <c r="S16" s="25">
        <v>33437</v>
      </c>
      <c r="T16" s="30">
        <v>30783</v>
      </c>
      <c r="U16" s="29">
        <v>36407</v>
      </c>
      <c r="V16" s="30">
        <v>42839</v>
      </c>
      <c r="W16" s="29">
        <v>41615</v>
      </c>
      <c r="X16" s="30">
        <v>26601</v>
      </c>
      <c r="Y16" s="29">
        <v>31438</v>
      </c>
      <c r="Z16" s="30">
        <v>37385</v>
      </c>
      <c r="AA16" s="29">
        <v>47087</v>
      </c>
      <c r="AB16" s="30">
        <v>30166</v>
      </c>
      <c r="AC16" s="29">
        <v>34892</v>
      </c>
      <c r="AD16" s="30">
        <v>35342</v>
      </c>
      <c r="AE16" s="29">
        <v>31536</v>
      </c>
      <c r="AF16" s="30">
        <v>30456</v>
      </c>
    </row>
    <row r="17" spans="1:32">
      <c r="A17" s="6" t="s">
        <v>214</v>
      </c>
      <c r="B17" s="33" t="s">
        <v>8</v>
      </c>
      <c r="C17" s="29">
        <v>-5813</v>
      </c>
      <c r="D17" s="30">
        <v>-21530</v>
      </c>
      <c r="E17" s="29">
        <v>-765</v>
      </c>
      <c r="F17" s="30">
        <v>-2120</v>
      </c>
      <c r="G17" s="29">
        <v>-4604</v>
      </c>
      <c r="H17" s="30">
        <v>-18458</v>
      </c>
      <c r="I17" s="29">
        <v>-13039</v>
      </c>
      <c r="J17" s="30">
        <v>-15964</v>
      </c>
      <c r="K17" s="29">
        <v>-15595</v>
      </c>
      <c r="L17" s="30">
        <v>-17066</v>
      </c>
      <c r="M17" s="29">
        <v>-22202</v>
      </c>
      <c r="N17" s="30">
        <v>-31052</v>
      </c>
      <c r="O17" s="29">
        <v>-20297</v>
      </c>
      <c r="P17" s="30">
        <v>-25884</v>
      </c>
      <c r="Q17" s="29">
        <v>-35837</v>
      </c>
      <c r="R17" s="30">
        <v>-59789</v>
      </c>
      <c r="S17" s="25">
        <v>-20944</v>
      </c>
      <c r="T17" s="30">
        <v>-27057</v>
      </c>
      <c r="U17" s="29">
        <v>-76931</v>
      </c>
      <c r="V17" s="30">
        <v>-220673</v>
      </c>
      <c r="W17" s="29">
        <v>-34194</v>
      </c>
      <c r="X17" s="30">
        <v>-124454</v>
      </c>
      <c r="Y17" s="29">
        <v>-20573</v>
      </c>
      <c r="Z17" s="30">
        <v>-61225</v>
      </c>
      <c r="AA17" s="29">
        <v>-22624</v>
      </c>
      <c r="AB17" s="30">
        <v>-24243</v>
      </c>
      <c r="AC17" s="29">
        <v>-41423</v>
      </c>
      <c r="AD17" s="30">
        <v>-80032</v>
      </c>
      <c r="AE17" s="29">
        <v>-29621</v>
      </c>
      <c r="AF17" s="30">
        <v>-20470</v>
      </c>
    </row>
    <row r="18" spans="1:32">
      <c r="A18" s="6" t="s">
        <v>215</v>
      </c>
      <c r="B18" s="31" t="s">
        <v>9</v>
      </c>
      <c r="C18" s="32">
        <f t="shared" ref="C18:R18" si="7">SUM(C16:C17)</f>
        <v>13413</v>
      </c>
      <c r="D18" s="32">
        <f t="shared" si="7"/>
        <v>10291</v>
      </c>
      <c r="E18" s="32">
        <f t="shared" si="7"/>
        <v>16378</v>
      </c>
      <c r="F18" s="32">
        <f t="shared" si="7"/>
        <v>11574</v>
      </c>
      <c r="G18" s="32">
        <f t="shared" si="7"/>
        <v>10611</v>
      </c>
      <c r="H18" s="32">
        <f t="shared" si="7"/>
        <v>47</v>
      </c>
      <c r="I18" s="32">
        <f t="shared" si="7"/>
        <v>3303</v>
      </c>
      <c r="J18" s="32">
        <f t="shared" si="7"/>
        <v>47058</v>
      </c>
      <c r="K18" s="32">
        <f t="shared" si="7"/>
        <v>16724</v>
      </c>
      <c r="L18" s="32">
        <f t="shared" si="7"/>
        <v>10989</v>
      </c>
      <c r="M18" s="32">
        <f t="shared" si="7"/>
        <v>5433</v>
      </c>
      <c r="N18" s="32">
        <f t="shared" si="7"/>
        <v>-6665</v>
      </c>
      <c r="O18" s="32">
        <f t="shared" si="7"/>
        <v>28658</v>
      </c>
      <c r="P18" s="32">
        <f t="shared" si="7"/>
        <v>-166</v>
      </c>
      <c r="Q18" s="32">
        <f t="shared" si="7"/>
        <v>-15950</v>
      </c>
      <c r="R18" s="32">
        <f t="shared" si="7"/>
        <v>-27304</v>
      </c>
      <c r="S18" s="26">
        <v>12493</v>
      </c>
      <c r="T18" s="32">
        <f>SUM(T16:T17)</f>
        <v>3726</v>
      </c>
      <c r="U18" s="35">
        <f>U16+U17</f>
        <v>-40524</v>
      </c>
      <c r="V18" s="35">
        <f>V16+V17</f>
        <v>-177834</v>
      </c>
      <c r="W18" s="35">
        <f>SUM(W16:W17)</f>
        <v>7421</v>
      </c>
      <c r="X18" s="32">
        <f>SUM(X16:X17)</f>
        <v>-97853</v>
      </c>
      <c r="Y18" s="35">
        <v>10865</v>
      </c>
      <c r="Z18" s="32">
        <f t="shared" ref="Z18:AE18" si="8">SUM(Z16:Z17)</f>
        <v>-23840</v>
      </c>
      <c r="AA18" s="35">
        <f t="shared" si="8"/>
        <v>24463</v>
      </c>
      <c r="AB18" s="32">
        <f t="shared" si="8"/>
        <v>5923</v>
      </c>
      <c r="AC18" s="35">
        <f t="shared" si="8"/>
        <v>-6531</v>
      </c>
      <c r="AD18" s="32">
        <f t="shared" si="8"/>
        <v>-44690</v>
      </c>
      <c r="AE18" s="35">
        <f t="shared" si="8"/>
        <v>1915</v>
      </c>
      <c r="AF18" s="32">
        <f t="shared" ref="AF18" si="9">SUM(AF16:AF17)</f>
        <v>9986</v>
      </c>
    </row>
    <row r="19" spans="1:32">
      <c r="A19" s="6" t="s">
        <v>223</v>
      </c>
      <c r="B19" s="33" t="s">
        <v>12</v>
      </c>
      <c r="C19" s="29">
        <v>0</v>
      </c>
      <c r="D19" s="30">
        <v>0</v>
      </c>
      <c r="E19" s="29">
        <v>0</v>
      </c>
      <c r="F19" s="30">
        <v>0</v>
      </c>
      <c r="G19" s="29">
        <v>0</v>
      </c>
      <c r="H19" s="30">
        <v>0</v>
      </c>
      <c r="I19" s="29">
        <v>0</v>
      </c>
      <c r="J19" s="30">
        <v>465005</v>
      </c>
      <c r="K19" s="29">
        <v>0</v>
      </c>
      <c r="L19" s="30">
        <v>0</v>
      </c>
      <c r="M19" s="29">
        <v>0</v>
      </c>
      <c r="N19" s="30">
        <v>0</v>
      </c>
      <c r="O19" s="29">
        <v>0</v>
      </c>
      <c r="P19" s="30">
        <v>0</v>
      </c>
      <c r="Q19" s="29">
        <v>0</v>
      </c>
      <c r="R19" s="30">
        <v>0</v>
      </c>
      <c r="S19" s="25">
        <v>0</v>
      </c>
      <c r="T19" s="30">
        <v>0</v>
      </c>
      <c r="U19" s="29">
        <v>0</v>
      </c>
      <c r="V19" s="30">
        <v>0</v>
      </c>
      <c r="W19" s="29">
        <v>0</v>
      </c>
      <c r="X19" s="30">
        <v>0</v>
      </c>
      <c r="Y19" s="29">
        <v>0</v>
      </c>
      <c r="Z19" s="30">
        <v>0</v>
      </c>
      <c r="AA19" s="29">
        <v>0</v>
      </c>
      <c r="AB19" s="30">
        <v>0</v>
      </c>
      <c r="AC19" s="29">
        <v>0</v>
      </c>
      <c r="AD19" s="30">
        <v>0</v>
      </c>
      <c r="AE19" s="29">
        <v>0</v>
      </c>
      <c r="AF19" s="30">
        <v>0</v>
      </c>
    </row>
    <row r="20" spans="1:32">
      <c r="A20" s="6" t="s">
        <v>216</v>
      </c>
      <c r="B20" s="33" t="s">
        <v>325</v>
      </c>
      <c r="C20" s="29">
        <v>-257858</v>
      </c>
      <c r="D20" s="30">
        <v>-262534</v>
      </c>
      <c r="E20" s="29">
        <v>-262421</v>
      </c>
      <c r="F20" s="30">
        <v>-325079</v>
      </c>
      <c r="G20" s="29">
        <v>-276614</v>
      </c>
      <c r="H20" s="30">
        <v>-287215</v>
      </c>
      <c r="I20" s="29">
        <v>-297109</v>
      </c>
      <c r="J20" s="30">
        <v>-705622</v>
      </c>
      <c r="K20" s="29">
        <v>-498903</v>
      </c>
      <c r="L20" s="30">
        <v>-503156</v>
      </c>
      <c r="M20" s="29">
        <v>-401139</v>
      </c>
      <c r="N20" s="30">
        <v>-450379</v>
      </c>
      <c r="O20" s="29">
        <v>-456093</v>
      </c>
      <c r="P20" s="30">
        <v>-430160</v>
      </c>
      <c r="Q20" s="29">
        <v>-411309</v>
      </c>
      <c r="R20" s="30">
        <v>-407441</v>
      </c>
      <c r="S20" s="25">
        <v>-512397</v>
      </c>
      <c r="T20" s="30">
        <v>-393558</v>
      </c>
      <c r="U20" s="29">
        <v>-371987</v>
      </c>
      <c r="V20" s="30">
        <v>-352162</v>
      </c>
      <c r="W20" s="29">
        <v>-481591</v>
      </c>
      <c r="X20" s="30">
        <v>-394980</v>
      </c>
      <c r="Y20" s="29">
        <v>-407800</v>
      </c>
      <c r="Z20" s="30">
        <v>-380160</v>
      </c>
      <c r="AA20" s="29">
        <v>-417941</v>
      </c>
      <c r="AB20" s="30">
        <v>-379330</v>
      </c>
      <c r="AC20" s="29">
        <v>-393872</v>
      </c>
      <c r="AD20" s="30">
        <v>-391401</v>
      </c>
      <c r="AE20" s="29">
        <v>-493014</v>
      </c>
      <c r="AF20" s="30">
        <v>-591445</v>
      </c>
    </row>
    <row r="21" spans="1:32">
      <c r="A21" s="6" t="s">
        <v>346</v>
      </c>
      <c r="B21" s="33" t="s">
        <v>372</v>
      </c>
      <c r="C21" s="29">
        <v>-142455</v>
      </c>
      <c r="D21" s="30">
        <v>-153552</v>
      </c>
      <c r="E21" s="29">
        <v>-173557</v>
      </c>
      <c r="F21" s="30">
        <v>-190181</v>
      </c>
      <c r="G21" s="29">
        <v>-172293</v>
      </c>
      <c r="H21" s="30">
        <v>-164322</v>
      </c>
      <c r="I21" s="29">
        <v>-196637</v>
      </c>
      <c r="J21" s="30">
        <v>-243920</v>
      </c>
      <c r="K21" s="29">
        <v>-207995</v>
      </c>
      <c r="L21" s="30">
        <v>-248717</v>
      </c>
      <c r="M21" s="29">
        <v>-207353</v>
      </c>
      <c r="N21" s="30">
        <v>-225144</v>
      </c>
      <c r="O21" s="29">
        <v>-242992</v>
      </c>
      <c r="P21" s="30">
        <v>-237598</v>
      </c>
      <c r="Q21" s="29">
        <v>-272157</v>
      </c>
      <c r="R21" s="30">
        <v>-295071</v>
      </c>
      <c r="S21" s="25">
        <v>-272962</v>
      </c>
      <c r="T21" s="30">
        <v>-502540</v>
      </c>
      <c r="U21" s="29">
        <v>-324781</v>
      </c>
      <c r="V21" s="30">
        <v>-336875</v>
      </c>
      <c r="W21" s="29">
        <v>-296153</v>
      </c>
      <c r="X21" s="30">
        <v>-915146</v>
      </c>
      <c r="Y21" s="29">
        <v>-289343</v>
      </c>
      <c r="Z21" s="30">
        <v>-232829</v>
      </c>
      <c r="AA21" s="29">
        <v>-243485</v>
      </c>
      <c r="AB21" s="30">
        <v>-264980</v>
      </c>
      <c r="AC21" s="29">
        <v>-251729</v>
      </c>
      <c r="AD21" s="30">
        <v>-246469</v>
      </c>
      <c r="AE21" s="29">
        <v>-208556</v>
      </c>
      <c r="AF21" s="30">
        <v>-229937</v>
      </c>
    </row>
    <row r="22" spans="1:32">
      <c r="A22" s="6" t="s">
        <v>513</v>
      </c>
      <c r="B22" s="33" t="s">
        <v>347</v>
      </c>
      <c r="C22" s="29">
        <v>-2201</v>
      </c>
      <c r="D22" s="30">
        <v>-5931</v>
      </c>
      <c r="E22" s="29">
        <v>470</v>
      </c>
      <c r="F22" s="30">
        <v>-4706</v>
      </c>
      <c r="G22" s="29">
        <v>-3452</v>
      </c>
      <c r="H22" s="30">
        <v>-8790</v>
      </c>
      <c r="I22" s="29">
        <v>-2369</v>
      </c>
      <c r="J22" s="30">
        <v>-8104</v>
      </c>
      <c r="K22" s="29">
        <v>-3621</v>
      </c>
      <c r="L22" s="30">
        <v>-7366</v>
      </c>
      <c r="M22" s="29">
        <v>-4606</v>
      </c>
      <c r="N22" s="30">
        <v>-10128</v>
      </c>
      <c r="O22" s="29">
        <v>-1756</v>
      </c>
      <c r="P22" s="30">
        <v>-477</v>
      </c>
      <c r="Q22" s="29">
        <v>-1033</v>
      </c>
      <c r="R22" s="30">
        <v>-2985</v>
      </c>
      <c r="S22" s="25">
        <v>-1644</v>
      </c>
      <c r="T22" s="30">
        <v>-105</v>
      </c>
      <c r="U22" s="29">
        <v>-7</v>
      </c>
      <c r="V22" s="30">
        <v>-4190</v>
      </c>
      <c r="W22" s="29">
        <v>1307</v>
      </c>
      <c r="X22" s="30">
        <v>-69897</v>
      </c>
      <c r="Y22" s="29">
        <v>-1802</v>
      </c>
      <c r="Z22" s="30">
        <v>-62430</v>
      </c>
      <c r="AA22" s="29">
        <v>-477</v>
      </c>
      <c r="AB22" s="30">
        <v>-1399</v>
      </c>
      <c r="AC22" s="29">
        <v>-1330</v>
      </c>
      <c r="AD22" s="30">
        <v>-7276</v>
      </c>
      <c r="AE22" s="29">
        <v>-30901</v>
      </c>
      <c r="AF22" s="30">
        <v>-9322</v>
      </c>
    </row>
    <row r="23" spans="1:32" ht="22.8">
      <c r="A23" s="6" t="s">
        <v>474</v>
      </c>
      <c r="B23" s="33" t="s">
        <v>473</v>
      </c>
      <c r="C23" s="29"/>
      <c r="D23" s="30"/>
      <c r="E23" s="29"/>
      <c r="F23" s="30"/>
      <c r="G23" s="29"/>
      <c r="H23" s="30"/>
      <c r="I23" s="29"/>
      <c r="J23" s="30"/>
      <c r="K23" s="29"/>
      <c r="L23" s="30"/>
      <c r="M23" s="29"/>
      <c r="N23" s="30"/>
      <c r="O23" s="29"/>
      <c r="P23" s="30"/>
      <c r="Q23" s="29"/>
      <c r="R23" s="30"/>
      <c r="S23" s="25"/>
      <c r="T23" s="30"/>
      <c r="U23" s="29"/>
      <c r="V23" s="30"/>
      <c r="W23" s="29"/>
      <c r="X23" s="30"/>
      <c r="Y23" s="29"/>
      <c r="Z23" s="30">
        <v>-311</v>
      </c>
      <c r="AA23" s="29"/>
      <c r="AB23" s="30"/>
      <c r="AC23" s="29"/>
      <c r="AD23" s="30">
        <v>-21386</v>
      </c>
      <c r="AE23" s="29">
        <v>-23197</v>
      </c>
      <c r="AF23" s="30">
        <v>-1241</v>
      </c>
    </row>
    <row r="24" spans="1:32">
      <c r="A24" s="6" t="s">
        <v>217</v>
      </c>
      <c r="B24" s="33" t="s">
        <v>11</v>
      </c>
      <c r="C24" s="29">
        <v>0</v>
      </c>
      <c r="D24" s="30">
        <v>0</v>
      </c>
      <c r="E24" s="29">
        <v>0</v>
      </c>
      <c r="F24" s="30">
        <v>0</v>
      </c>
      <c r="G24" s="29">
        <v>-20673</v>
      </c>
      <c r="H24" s="30">
        <v>-32257</v>
      </c>
      <c r="I24" s="29">
        <v>-34680</v>
      </c>
      <c r="J24" s="30">
        <v>-43283</v>
      </c>
      <c r="K24" s="29">
        <v>-49527</v>
      </c>
      <c r="L24" s="30">
        <v>-49201</v>
      </c>
      <c r="M24" s="29">
        <v>-50647</v>
      </c>
      <c r="N24" s="30">
        <v>-51142</v>
      </c>
      <c r="O24" s="29">
        <v>-49890</v>
      </c>
      <c r="P24" s="30">
        <v>-53011</v>
      </c>
      <c r="Q24" s="29">
        <v>-52270</v>
      </c>
      <c r="R24" s="30">
        <v>-53015</v>
      </c>
      <c r="S24" s="25">
        <v>-54232</v>
      </c>
      <c r="T24" s="30">
        <v>-55969</v>
      </c>
      <c r="U24" s="29">
        <v>-59005</v>
      </c>
      <c r="V24" s="30">
        <v>-56768</v>
      </c>
      <c r="W24" s="29">
        <v>-54118</v>
      </c>
      <c r="X24" s="30">
        <v>-55771</v>
      </c>
      <c r="Y24" s="29">
        <v>-55329</v>
      </c>
      <c r="Z24" s="30">
        <v>-55585</v>
      </c>
      <c r="AA24" s="29">
        <v>-58615</v>
      </c>
      <c r="AB24" s="30">
        <v>-57654</v>
      </c>
      <c r="AC24" s="29">
        <v>-58031</v>
      </c>
      <c r="AD24" s="30">
        <v>-62535</v>
      </c>
      <c r="AE24" s="29">
        <v>-64115</v>
      </c>
      <c r="AF24" s="30">
        <v>-65966</v>
      </c>
    </row>
    <row r="25" spans="1:32">
      <c r="A25" s="6" t="s">
        <v>218</v>
      </c>
      <c r="B25" s="31" t="s">
        <v>341</v>
      </c>
      <c r="C25" s="32">
        <f t="shared" ref="C25:I25" si="10">C6+C9+C10+C18+C20+C21+C24+C11+C12+C22</f>
        <v>117226</v>
      </c>
      <c r="D25" s="32">
        <f t="shared" si="10"/>
        <v>102973</v>
      </c>
      <c r="E25" s="32">
        <f t="shared" si="10"/>
        <v>114900</v>
      </c>
      <c r="F25" s="32">
        <f t="shared" si="10"/>
        <v>50909</v>
      </c>
      <c r="G25" s="32">
        <f t="shared" si="10"/>
        <v>106261</v>
      </c>
      <c r="H25" s="32">
        <f t="shared" si="10"/>
        <v>110803</v>
      </c>
      <c r="I25" s="32">
        <f t="shared" si="10"/>
        <v>117587</v>
      </c>
      <c r="J25" s="32">
        <f>J6+J9+J10+J18+J20+J21+J24+J11+J12+J22+J19</f>
        <v>313712</v>
      </c>
      <c r="K25" s="32">
        <f>K6+K9+K10+K18+K20+K21+K24+K11+K12+K22</f>
        <v>96735</v>
      </c>
      <c r="L25" s="32">
        <f>L6+L9+L10+L18+L20+L21+L24+L11+L12+L22</f>
        <v>128201</v>
      </c>
      <c r="M25" s="32">
        <f>M6+M9+M10+M18+M20+M21+M24+M11+M12+M22</f>
        <v>256849</v>
      </c>
      <c r="N25" s="32">
        <f>N6+N9+N10+N18+N20+N21+N24+N11+N12+N22</f>
        <v>207336</v>
      </c>
      <c r="O25" s="32">
        <f t="shared" ref="O25:Y25" si="11">O6+O9+O10+O18+O20+O21+O24+O11+O13+O22</f>
        <v>213988</v>
      </c>
      <c r="P25" s="32">
        <f t="shared" si="11"/>
        <v>276842</v>
      </c>
      <c r="Q25" s="32">
        <f t="shared" si="11"/>
        <v>244958</v>
      </c>
      <c r="R25" s="32">
        <f t="shared" si="11"/>
        <v>252503</v>
      </c>
      <c r="S25" s="32">
        <f t="shared" si="11"/>
        <v>184910</v>
      </c>
      <c r="T25" s="32">
        <f t="shared" si="11"/>
        <v>52755</v>
      </c>
      <c r="U25" s="32">
        <f t="shared" si="11"/>
        <v>199271</v>
      </c>
      <c r="V25" s="32">
        <f t="shared" si="11"/>
        <v>52735</v>
      </c>
      <c r="W25" s="32">
        <f t="shared" si="11"/>
        <v>119635</v>
      </c>
      <c r="X25" s="32">
        <f t="shared" si="11"/>
        <v>-644614</v>
      </c>
      <c r="Y25" s="32">
        <f t="shared" si="11"/>
        <v>138396</v>
      </c>
      <c r="Z25" s="32">
        <f t="shared" ref="Z25:AC25" si="12">Z6+Z9+Z10+Z18+Z20+Z21+Z24+Z11+Z13+Z22+Z23</f>
        <v>180133</v>
      </c>
      <c r="AA25" s="32">
        <f t="shared" si="12"/>
        <v>170844</v>
      </c>
      <c r="AB25" s="32">
        <f t="shared" si="12"/>
        <v>189326</v>
      </c>
      <c r="AC25" s="32">
        <f t="shared" si="12"/>
        <v>213295</v>
      </c>
      <c r="AD25" s="32">
        <f>AD6+AD9+AD10+AD18+AD20+AD21+AD24+AD11+AD13+AD22+AD23</f>
        <v>205746</v>
      </c>
      <c r="AE25" s="32">
        <f t="shared" ref="AE25" si="13">AE6+AE9+AE10+AE18+AE20+AE21+AE24+AE11+AE13+AE22+AE23</f>
        <v>273384</v>
      </c>
      <c r="AF25" s="32">
        <f>AF6+AF9+AF10+AF18+AF20+AF21+AF24+AF11+AF13+AF22+AF23</f>
        <v>301881</v>
      </c>
    </row>
    <row r="26" spans="1:32">
      <c r="A26" s="6" t="s">
        <v>219</v>
      </c>
      <c r="B26" s="28" t="s">
        <v>10</v>
      </c>
      <c r="C26" s="34">
        <v>-25747</v>
      </c>
      <c r="D26" s="34">
        <v>-15770</v>
      </c>
      <c r="E26" s="34">
        <v>-24012</v>
      </c>
      <c r="F26" s="34">
        <v>-11504</v>
      </c>
      <c r="G26" s="34">
        <v>-26159</v>
      </c>
      <c r="H26" s="34">
        <v>-29169</v>
      </c>
      <c r="I26" s="34">
        <v>-30650</v>
      </c>
      <c r="J26" s="34">
        <v>12641</v>
      </c>
      <c r="K26" s="34">
        <v>-34566</v>
      </c>
      <c r="L26" s="34">
        <v>-28411</v>
      </c>
      <c r="M26" s="34">
        <v>-78584</v>
      </c>
      <c r="N26" s="34">
        <v>-75990</v>
      </c>
      <c r="O26" s="34">
        <v>-56653</v>
      </c>
      <c r="P26" s="34">
        <v>-77011</v>
      </c>
      <c r="Q26" s="34">
        <v>-68141</v>
      </c>
      <c r="R26" s="34">
        <f>-70240-2873</f>
        <v>-73113</v>
      </c>
      <c r="S26" s="34">
        <v>-81421</v>
      </c>
      <c r="T26" s="34">
        <v>-62167</v>
      </c>
      <c r="U26" s="34">
        <v>-56672</v>
      </c>
      <c r="V26" s="34">
        <v>-41131</v>
      </c>
      <c r="W26" s="34">
        <v>-47504</v>
      </c>
      <c r="X26" s="34">
        <v>62168</v>
      </c>
      <c r="Y26" s="34">
        <v>-47735</v>
      </c>
      <c r="Z26" s="34">
        <v>-71712</v>
      </c>
      <c r="AA26" s="34">
        <v>-62750</v>
      </c>
      <c r="AB26" s="34">
        <v>-65515</v>
      </c>
      <c r="AC26" s="34">
        <v>-62913</v>
      </c>
      <c r="AD26" s="30">
        <v>-106108</v>
      </c>
      <c r="AE26" s="34">
        <v>-104214</v>
      </c>
      <c r="AF26" s="30">
        <v>-85667</v>
      </c>
    </row>
    <row r="27" spans="1:32">
      <c r="A27" s="6" t="s">
        <v>328</v>
      </c>
      <c r="B27" s="67" t="s">
        <v>329</v>
      </c>
      <c r="C27" s="34">
        <f>C25+C26</f>
        <v>91479</v>
      </c>
      <c r="D27" s="34">
        <f t="shared" ref="D27:S27" si="14">D25+D26</f>
        <v>87203</v>
      </c>
      <c r="E27" s="34">
        <f t="shared" si="14"/>
        <v>90888</v>
      </c>
      <c r="F27" s="34">
        <f t="shared" si="14"/>
        <v>39405</v>
      </c>
      <c r="G27" s="34">
        <f t="shared" si="14"/>
        <v>80102</v>
      </c>
      <c r="H27" s="34">
        <f t="shared" si="14"/>
        <v>81634</v>
      </c>
      <c r="I27" s="34">
        <f t="shared" si="14"/>
        <v>86937</v>
      </c>
      <c r="J27" s="34">
        <f t="shared" si="14"/>
        <v>326353</v>
      </c>
      <c r="K27" s="34">
        <f t="shared" si="14"/>
        <v>62169</v>
      </c>
      <c r="L27" s="34">
        <f t="shared" si="14"/>
        <v>99790</v>
      </c>
      <c r="M27" s="34">
        <f t="shared" si="14"/>
        <v>178265</v>
      </c>
      <c r="N27" s="34">
        <f t="shared" si="14"/>
        <v>131346</v>
      </c>
      <c r="O27" s="34">
        <f t="shared" si="14"/>
        <v>157335</v>
      </c>
      <c r="P27" s="34">
        <f t="shared" si="14"/>
        <v>199831</v>
      </c>
      <c r="Q27" s="34">
        <f t="shared" si="14"/>
        <v>176817</v>
      </c>
      <c r="R27" s="34">
        <f t="shared" si="14"/>
        <v>179390</v>
      </c>
      <c r="S27" s="34">
        <f t="shared" si="14"/>
        <v>103489</v>
      </c>
      <c r="T27" s="34">
        <f>T25+T26</f>
        <v>-9412</v>
      </c>
      <c r="U27" s="34">
        <f>U25+U26</f>
        <v>142599</v>
      </c>
      <c r="V27" s="34">
        <f>V25+V26</f>
        <v>11604</v>
      </c>
      <c r="W27" s="34">
        <f t="shared" ref="W27:X27" si="15">W25+W26</f>
        <v>72131</v>
      </c>
      <c r="X27" s="34">
        <f t="shared" si="15"/>
        <v>-582446</v>
      </c>
      <c r="Y27" s="34">
        <f t="shared" ref="Y27:AD27" si="16">Y25+Y26</f>
        <v>90661</v>
      </c>
      <c r="Z27" s="34">
        <f t="shared" si="16"/>
        <v>108421</v>
      </c>
      <c r="AA27" s="34">
        <f t="shared" si="16"/>
        <v>108094</v>
      </c>
      <c r="AB27" s="34">
        <f t="shared" si="16"/>
        <v>123811</v>
      </c>
      <c r="AC27" s="34">
        <f t="shared" si="16"/>
        <v>150382</v>
      </c>
      <c r="AD27" s="34">
        <f t="shared" si="16"/>
        <v>99638</v>
      </c>
      <c r="AE27" s="34">
        <f t="shared" ref="AE27:AF27" si="17">AE25+AE26</f>
        <v>169170</v>
      </c>
      <c r="AF27" s="34">
        <f t="shared" si="17"/>
        <v>216214</v>
      </c>
    </row>
    <row r="28" spans="1:32">
      <c r="A28" s="6" t="s">
        <v>330</v>
      </c>
      <c r="B28" s="28" t="s">
        <v>514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>
        <v>0</v>
      </c>
      <c r="X28" s="34">
        <v>-3052</v>
      </c>
      <c r="Y28" s="34">
        <v>-8875</v>
      </c>
      <c r="Z28" s="34">
        <v>11927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</row>
    <row r="29" spans="1:32">
      <c r="A29" s="6" t="s">
        <v>220</v>
      </c>
      <c r="B29" s="31" t="s">
        <v>342</v>
      </c>
      <c r="C29" s="35">
        <f t="shared" ref="C29:R29" si="18">C25+C26</f>
        <v>91479</v>
      </c>
      <c r="D29" s="32">
        <f t="shared" si="18"/>
        <v>87203</v>
      </c>
      <c r="E29" s="35">
        <f t="shared" si="18"/>
        <v>90888</v>
      </c>
      <c r="F29" s="32">
        <f t="shared" si="18"/>
        <v>39405</v>
      </c>
      <c r="G29" s="35">
        <f t="shared" si="18"/>
        <v>80102</v>
      </c>
      <c r="H29" s="32">
        <f t="shared" si="18"/>
        <v>81634</v>
      </c>
      <c r="I29" s="35">
        <f t="shared" si="18"/>
        <v>86937</v>
      </c>
      <c r="J29" s="32">
        <f t="shared" si="18"/>
        <v>326353</v>
      </c>
      <c r="K29" s="35">
        <f t="shared" si="18"/>
        <v>62169</v>
      </c>
      <c r="L29" s="32">
        <f t="shared" si="18"/>
        <v>99790</v>
      </c>
      <c r="M29" s="35">
        <f t="shared" si="18"/>
        <v>178265</v>
      </c>
      <c r="N29" s="32">
        <f t="shared" si="18"/>
        <v>131346</v>
      </c>
      <c r="O29" s="35">
        <f t="shared" si="18"/>
        <v>157335</v>
      </c>
      <c r="P29" s="32">
        <f>P25+P26</f>
        <v>199831</v>
      </c>
      <c r="Q29" s="35">
        <f t="shared" si="18"/>
        <v>176817</v>
      </c>
      <c r="R29" s="32">
        <f t="shared" si="18"/>
        <v>179390</v>
      </c>
      <c r="S29" s="32">
        <v>103489</v>
      </c>
      <c r="T29" s="32">
        <f>T25+T26</f>
        <v>-9412</v>
      </c>
      <c r="U29" s="35">
        <f>SUM(U25:U26)</f>
        <v>142599</v>
      </c>
      <c r="V29" s="35">
        <f>SUM(V25:V26)</f>
        <v>11604</v>
      </c>
      <c r="W29" s="35">
        <f>W27+W28</f>
        <v>72131</v>
      </c>
      <c r="X29" s="35">
        <f>X27+X28</f>
        <v>-585498</v>
      </c>
      <c r="Y29" s="35">
        <v>81786</v>
      </c>
      <c r="Z29" s="35">
        <f t="shared" ref="Z29:AE29" si="19">Z27+Z28</f>
        <v>120348</v>
      </c>
      <c r="AA29" s="35">
        <f t="shared" si="19"/>
        <v>108094</v>
      </c>
      <c r="AB29" s="35">
        <f t="shared" si="19"/>
        <v>123811</v>
      </c>
      <c r="AC29" s="35">
        <f t="shared" si="19"/>
        <v>150382</v>
      </c>
      <c r="AD29" s="35">
        <f t="shared" si="19"/>
        <v>99638</v>
      </c>
      <c r="AE29" s="35">
        <f t="shared" si="19"/>
        <v>169170</v>
      </c>
      <c r="AF29" s="35">
        <f t="shared" ref="AF29" si="20">AF27+AF28</f>
        <v>216214</v>
      </c>
    </row>
    <row r="30" spans="1:32">
      <c r="A30" s="6" t="s">
        <v>221</v>
      </c>
      <c r="B30" s="6" t="s">
        <v>515</v>
      </c>
      <c r="C30" s="17">
        <v>91224</v>
      </c>
      <c r="D30" s="17">
        <v>87811</v>
      </c>
      <c r="E30" s="17">
        <v>90987</v>
      </c>
      <c r="F30" s="17">
        <v>39626</v>
      </c>
      <c r="G30" s="17">
        <v>80227</v>
      </c>
      <c r="H30" s="17">
        <v>81661</v>
      </c>
      <c r="I30" s="17">
        <v>86939</v>
      </c>
      <c r="J30" s="17">
        <v>326400</v>
      </c>
      <c r="K30" s="17">
        <v>62125</v>
      </c>
      <c r="L30" s="17">
        <v>99761</v>
      </c>
      <c r="M30" s="17">
        <v>178175</v>
      </c>
      <c r="N30" s="17">
        <v>131133</v>
      </c>
      <c r="O30" s="17">
        <v>154460</v>
      </c>
      <c r="P30" s="17">
        <v>199833</v>
      </c>
      <c r="Q30" s="17">
        <f>Q29</f>
        <v>176817</v>
      </c>
      <c r="R30" s="17">
        <f>R29</f>
        <v>179390</v>
      </c>
      <c r="S30" s="17">
        <f>S29</f>
        <v>103489</v>
      </c>
      <c r="T30" s="17">
        <f>T29</f>
        <v>-9412</v>
      </c>
      <c r="U30" s="17">
        <f t="shared" ref="U30:Y30" si="21">U29</f>
        <v>142599</v>
      </c>
      <c r="V30" s="17">
        <f t="shared" si="21"/>
        <v>11604</v>
      </c>
      <c r="W30" s="17">
        <f t="shared" si="21"/>
        <v>72131</v>
      </c>
      <c r="X30" s="17">
        <f t="shared" si="21"/>
        <v>-585498</v>
      </c>
      <c r="Y30" s="17">
        <f t="shared" si="21"/>
        <v>81786</v>
      </c>
      <c r="Z30" s="17">
        <f>Z29</f>
        <v>120348</v>
      </c>
      <c r="AA30" s="17">
        <v>108094</v>
      </c>
      <c r="AB30" s="17">
        <f>AB29</f>
        <v>123811</v>
      </c>
      <c r="AC30" s="17">
        <f>AC29</f>
        <v>150382</v>
      </c>
      <c r="AD30" s="17">
        <f>AD29</f>
        <v>99638</v>
      </c>
      <c r="AE30" s="17">
        <f>AE29</f>
        <v>169170</v>
      </c>
      <c r="AF30" s="17">
        <f>AF29</f>
        <v>216214</v>
      </c>
    </row>
    <row r="31" spans="1:32">
      <c r="A31" s="6" t="s">
        <v>222</v>
      </c>
      <c r="B31" s="6" t="s">
        <v>516</v>
      </c>
      <c r="C31" s="17">
        <v>255</v>
      </c>
      <c r="D31" s="17">
        <v>-608</v>
      </c>
      <c r="E31" s="17">
        <v>-99</v>
      </c>
      <c r="F31" s="17">
        <v>-221</v>
      </c>
      <c r="G31" s="17">
        <v>-125</v>
      </c>
      <c r="H31" s="17">
        <v>-27</v>
      </c>
      <c r="I31" s="17">
        <v>-2</v>
      </c>
      <c r="J31" s="17">
        <v>-47</v>
      </c>
      <c r="K31" s="17">
        <v>44</v>
      </c>
      <c r="L31" s="17">
        <v>29</v>
      </c>
      <c r="M31" s="17">
        <v>90</v>
      </c>
      <c r="N31" s="17">
        <v>213</v>
      </c>
      <c r="O31" s="17">
        <v>2</v>
      </c>
      <c r="P31" s="17">
        <v>-2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</row>
    <row r="32" spans="1:32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3:30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B33" s="17"/>
      <c r="AD33" s="17"/>
    </row>
    <row r="34" spans="3:30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3:30">
      <c r="J35" s="17"/>
      <c r="K35" s="17"/>
      <c r="N35" s="6"/>
      <c r="O35" s="17"/>
      <c r="Q35" s="6"/>
      <c r="R35" s="6"/>
      <c r="S35" s="6"/>
      <c r="T35" s="6"/>
      <c r="U35" s="6"/>
      <c r="V35" s="6"/>
      <c r="W35" s="6"/>
      <c r="X35" s="6"/>
      <c r="Y35" s="6"/>
      <c r="Z35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H119"/>
  <sheetViews>
    <sheetView zoomScaleNormal="100" workbookViewId="0">
      <pane xSplit="2" topLeftCell="G1" activePane="topRight" state="frozen"/>
      <selection pane="topRight" activeCell="A11" sqref="A11"/>
    </sheetView>
  </sheetViews>
  <sheetFormatPr defaultRowHeight="10.199999999999999"/>
  <cols>
    <col min="1" max="1" width="35.140625" style="4" customWidth="1"/>
    <col min="2" max="2" width="39.42578125" customWidth="1"/>
    <col min="3" max="6" width="8.85546875" customWidth="1"/>
    <col min="7" max="7" width="8.85546875" style="1" customWidth="1"/>
    <col min="8" max="9" width="8.85546875" customWidth="1"/>
    <col min="10" max="10" width="8.85546875" style="1" customWidth="1"/>
    <col min="11" max="26" width="8.85546875" customWidth="1"/>
    <col min="27" max="30" width="9.140625" customWidth="1"/>
    <col min="33" max="33" width="10.28515625" bestFit="1" customWidth="1"/>
  </cols>
  <sheetData>
    <row r="1" spans="1:34" ht="10.8" thickBot="1">
      <c r="C1" s="111" t="s">
        <v>416</v>
      </c>
      <c r="D1" s="111" t="s">
        <v>417</v>
      </c>
      <c r="E1" s="111" t="s">
        <v>418</v>
      </c>
      <c r="F1" s="111" t="s">
        <v>419</v>
      </c>
      <c r="G1" s="111" t="s">
        <v>420</v>
      </c>
      <c r="H1" s="111" t="s">
        <v>421</v>
      </c>
      <c r="I1" s="111" t="s">
        <v>422</v>
      </c>
      <c r="J1" s="111" t="s">
        <v>423</v>
      </c>
      <c r="K1" s="111" t="s">
        <v>424</v>
      </c>
      <c r="L1" s="111" t="s">
        <v>425</v>
      </c>
      <c r="M1" s="111" t="s">
        <v>426</v>
      </c>
      <c r="N1" s="111" t="s">
        <v>427</v>
      </c>
      <c r="O1" s="111" t="s">
        <v>428</v>
      </c>
      <c r="P1" s="111" t="s">
        <v>429</v>
      </c>
      <c r="Q1" s="111" t="s">
        <v>430</v>
      </c>
      <c r="R1" s="111" t="s">
        <v>431</v>
      </c>
      <c r="S1" s="111" t="s">
        <v>432</v>
      </c>
      <c r="T1" s="111" t="s">
        <v>433</v>
      </c>
      <c r="U1" s="111" t="s">
        <v>434</v>
      </c>
      <c r="V1" s="111" t="s">
        <v>435</v>
      </c>
      <c r="W1" s="111" t="s">
        <v>436</v>
      </c>
      <c r="X1" s="111" t="s">
        <v>437</v>
      </c>
      <c r="Y1" s="111" t="s">
        <v>438</v>
      </c>
      <c r="Z1" s="111" t="s">
        <v>439</v>
      </c>
      <c r="AA1" s="111" t="s">
        <v>440</v>
      </c>
      <c r="AB1" s="111" t="s">
        <v>441</v>
      </c>
      <c r="AC1" s="111" t="s">
        <v>442</v>
      </c>
      <c r="AD1" s="111" t="s">
        <v>472</v>
      </c>
      <c r="AE1" s="111" t="s">
        <v>501</v>
      </c>
      <c r="AF1" s="111" t="s">
        <v>503</v>
      </c>
      <c r="AG1" s="126"/>
      <c r="AH1" s="126"/>
    </row>
    <row r="2" spans="1:34" ht="12" thickBot="1">
      <c r="B2" s="5"/>
      <c r="C2" s="111" t="s">
        <v>443</v>
      </c>
      <c r="D2" s="111" t="s">
        <v>444</v>
      </c>
      <c r="E2" s="111" t="s">
        <v>445</v>
      </c>
      <c r="F2" s="111" t="s">
        <v>446</v>
      </c>
      <c r="G2" s="111" t="s">
        <v>447</v>
      </c>
      <c r="H2" s="111" t="s">
        <v>448</v>
      </c>
      <c r="I2" s="111" t="s">
        <v>449</v>
      </c>
      <c r="J2" s="111" t="s">
        <v>450</v>
      </c>
      <c r="K2" s="111" t="s">
        <v>451</v>
      </c>
      <c r="L2" s="111" t="s">
        <v>452</v>
      </c>
      <c r="M2" s="111" t="s">
        <v>453</v>
      </c>
      <c r="N2" s="111" t="s">
        <v>454</v>
      </c>
      <c r="O2" s="111" t="s">
        <v>455</v>
      </c>
      <c r="P2" s="111" t="s">
        <v>456</v>
      </c>
      <c r="Q2" s="111" t="s">
        <v>457</v>
      </c>
      <c r="R2" s="111" t="s">
        <v>458</v>
      </c>
      <c r="S2" s="111" t="s">
        <v>459</v>
      </c>
      <c r="T2" s="111" t="s">
        <v>460</v>
      </c>
      <c r="U2" s="111" t="s">
        <v>461</v>
      </c>
      <c r="V2" s="111" t="s">
        <v>462</v>
      </c>
      <c r="W2" s="111" t="s">
        <v>463</v>
      </c>
      <c r="X2" s="111" t="s">
        <v>464</v>
      </c>
      <c r="Y2" s="111" t="s">
        <v>465</v>
      </c>
      <c r="Z2" s="111" t="s">
        <v>466</v>
      </c>
      <c r="AA2" s="111" t="s">
        <v>467</v>
      </c>
      <c r="AB2" s="111" t="s">
        <v>468</v>
      </c>
      <c r="AC2" s="111" t="s">
        <v>469</v>
      </c>
      <c r="AD2" s="111" t="s">
        <v>471</v>
      </c>
      <c r="AE2" s="111" t="s">
        <v>502</v>
      </c>
      <c r="AF2" s="111" t="s">
        <v>504</v>
      </c>
    </row>
    <row r="3" spans="1:34" s="6" customFormat="1" ht="12" thickBot="1">
      <c r="A3" s="6" t="s">
        <v>201</v>
      </c>
      <c r="B3" s="37" t="s">
        <v>0</v>
      </c>
      <c r="C3" s="38">
        <f t="shared" ref="C3:N3" si="0">SUM(C4:C18)</f>
        <v>556125</v>
      </c>
      <c r="D3" s="38">
        <f t="shared" si="0"/>
        <v>596336</v>
      </c>
      <c r="E3" s="38">
        <f t="shared" si="0"/>
        <v>614421</v>
      </c>
      <c r="F3" s="38">
        <f t="shared" si="0"/>
        <v>632338</v>
      </c>
      <c r="G3" s="38">
        <f t="shared" si="0"/>
        <v>578002</v>
      </c>
      <c r="H3" s="38">
        <f t="shared" si="0"/>
        <v>614131</v>
      </c>
      <c r="I3" s="38">
        <f t="shared" si="0"/>
        <v>655890</v>
      </c>
      <c r="J3" s="38">
        <f t="shared" si="0"/>
        <v>795858</v>
      </c>
      <c r="K3" s="38">
        <f t="shared" si="0"/>
        <v>867326</v>
      </c>
      <c r="L3" s="38">
        <f t="shared" si="0"/>
        <v>892704</v>
      </c>
      <c r="M3" s="38">
        <f t="shared" si="0"/>
        <v>903610</v>
      </c>
      <c r="N3" s="38">
        <f t="shared" si="0"/>
        <v>937491</v>
      </c>
      <c r="O3" s="38">
        <f>SUM(O4:O17)+O23+O24</f>
        <v>916104</v>
      </c>
      <c r="P3" s="38">
        <f>SUM(P4:P17)+P23+P24</f>
        <v>942787</v>
      </c>
      <c r="Q3" s="38">
        <f>SUM(Q4:Q17)+Q23+Q24</f>
        <v>961196</v>
      </c>
      <c r="R3" s="38">
        <f>SUM(R4:R17)+R23+R24</f>
        <v>985370</v>
      </c>
      <c r="S3" s="38">
        <f>SUM(S4:S17)</f>
        <v>986612</v>
      </c>
      <c r="T3" s="38">
        <f>SUM(T4:T17)-T7</f>
        <v>1010905</v>
      </c>
      <c r="U3" s="38">
        <f t="shared" ref="U3:Z3" si="1">U4+U5+U9+U10+U11+U12+U14+U15+U16+U17</f>
        <v>985175</v>
      </c>
      <c r="V3" s="38">
        <f t="shared" si="1"/>
        <v>925973</v>
      </c>
      <c r="W3" s="38">
        <f t="shared" si="1"/>
        <v>937951</v>
      </c>
      <c r="X3" s="38">
        <f t="shared" si="1"/>
        <v>821385</v>
      </c>
      <c r="Y3" s="38">
        <f t="shared" si="1"/>
        <v>726585</v>
      </c>
      <c r="Z3" s="38">
        <f t="shared" si="1"/>
        <v>675492</v>
      </c>
      <c r="AA3" s="38">
        <f t="shared" ref="AA3:AF3" si="2">AA4+AA5+AA9+AA10+AA11+AA12+AA14+AA15+AA16+AA17</f>
        <v>682536</v>
      </c>
      <c r="AB3" s="38">
        <f t="shared" si="2"/>
        <v>669132</v>
      </c>
      <c r="AC3" s="38">
        <f t="shared" si="2"/>
        <v>697571</v>
      </c>
      <c r="AD3" s="38">
        <f t="shared" si="2"/>
        <v>788065</v>
      </c>
      <c r="AE3" s="38">
        <f t="shared" si="2"/>
        <v>1023103</v>
      </c>
      <c r="AF3" s="38">
        <f t="shared" si="2"/>
        <v>1339506</v>
      </c>
      <c r="AG3"/>
    </row>
    <row r="4" spans="1:34" s="6" customFormat="1" ht="11.4">
      <c r="A4" s="6" t="s">
        <v>225</v>
      </c>
      <c r="B4" s="13" t="s">
        <v>64</v>
      </c>
      <c r="C4" s="72">
        <v>101</v>
      </c>
      <c r="D4" s="72">
        <v>-101</v>
      </c>
      <c r="E4" s="72">
        <v>0</v>
      </c>
      <c r="F4" s="72">
        <v>241</v>
      </c>
      <c r="G4" s="72">
        <v>347</v>
      </c>
      <c r="H4" s="72">
        <v>481</v>
      </c>
      <c r="I4" s="72">
        <v>478</v>
      </c>
      <c r="J4" s="72">
        <v>215</v>
      </c>
      <c r="K4" s="72">
        <v>277</v>
      </c>
      <c r="L4" s="72">
        <v>272</v>
      </c>
      <c r="M4" s="72">
        <v>274</v>
      </c>
      <c r="N4" s="72">
        <v>241</v>
      </c>
      <c r="O4" s="72">
        <v>151</v>
      </c>
      <c r="P4" s="72">
        <v>140</v>
      </c>
      <c r="Q4" s="72">
        <v>163</v>
      </c>
      <c r="R4" s="72">
        <v>200</v>
      </c>
      <c r="S4" s="72">
        <v>105</v>
      </c>
      <c r="T4" s="72">
        <v>189</v>
      </c>
      <c r="U4" s="72">
        <v>90</v>
      </c>
      <c r="V4" s="72">
        <v>387</v>
      </c>
      <c r="W4" s="72">
        <v>78</v>
      </c>
      <c r="X4" s="72">
        <v>235</v>
      </c>
      <c r="Y4" s="72">
        <v>45</v>
      </c>
      <c r="Z4" s="72">
        <v>3</v>
      </c>
      <c r="AA4" s="72">
        <v>16</v>
      </c>
      <c r="AB4" s="72">
        <v>4</v>
      </c>
      <c r="AC4" s="72">
        <v>54</v>
      </c>
      <c r="AD4" s="72">
        <v>99</v>
      </c>
      <c r="AE4" s="72">
        <v>62</v>
      </c>
      <c r="AF4" s="72">
        <v>356</v>
      </c>
      <c r="AG4" s="27"/>
    </row>
    <row r="5" spans="1:34" s="6" customFormat="1" ht="11.4">
      <c r="A5" s="6" t="s">
        <v>226</v>
      </c>
      <c r="B5" s="13" t="s">
        <v>326</v>
      </c>
      <c r="C5" s="72">
        <v>424926</v>
      </c>
      <c r="D5" s="72">
        <v>454141</v>
      </c>
      <c r="E5" s="72">
        <v>474148</v>
      </c>
      <c r="F5" s="72">
        <v>494257</v>
      </c>
      <c r="G5" s="72">
        <v>509437</v>
      </c>
      <c r="H5" s="72">
        <v>539362</v>
      </c>
      <c r="I5" s="72">
        <v>580121</v>
      </c>
      <c r="J5" s="72">
        <v>695483</v>
      </c>
      <c r="K5" s="72">
        <v>742880</v>
      </c>
      <c r="L5" s="72">
        <v>800333</v>
      </c>
      <c r="M5" s="72">
        <v>810003</v>
      </c>
      <c r="N5" s="72">
        <v>823090</v>
      </c>
      <c r="O5" s="72">
        <v>810757</v>
      </c>
      <c r="P5" s="72">
        <v>850839</v>
      </c>
      <c r="Q5" s="72">
        <v>856293</v>
      </c>
      <c r="R5" s="72">
        <v>874567</v>
      </c>
      <c r="S5" s="72">
        <v>864254</v>
      </c>
      <c r="T5" s="72">
        <v>892781</v>
      </c>
      <c r="U5" s="72">
        <v>861592</v>
      </c>
      <c r="V5" s="72">
        <f>788098+679</f>
        <v>788777</v>
      </c>
      <c r="W5" s="72">
        <v>809522</v>
      </c>
      <c r="X5" s="72">
        <v>704698</v>
      </c>
      <c r="Y5" s="72">
        <v>634812</v>
      </c>
      <c r="Z5" s="72">
        <v>599211</v>
      </c>
      <c r="AA5" s="72">
        <v>608110</v>
      </c>
      <c r="AB5" s="72">
        <v>594701</v>
      </c>
      <c r="AC5" s="72">
        <v>627120</v>
      </c>
      <c r="AD5" s="72">
        <v>694092</v>
      </c>
      <c r="AE5" s="72">
        <v>859778</v>
      </c>
      <c r="AF5" s="72">
        <v>1082449</v>
      </c>
      <c r="AG5" s="27"/>
    </row>
    <row r="6" spans="1:34" s="66" customFormat="1" ht="11.4">
      <c r="A6" s="66" t="s">
        <v>227</v>
      </c>
      <c r="B6" s="13" t="s">
        <v>156</v>
      </c>
      <c r="C6" s="73" t="s">
        <v>100</v>
      </c>
      <c r="D6" s="73" t="s">
        <v>100</v>
      </c>
      <c r="E6" s="73" t="s">
        <v>100</v>
      </c>
      <c r="F6" s="73" t="s">
        <v>100</v>
      </c>
      <c r="G6" s="73" t="s">
        <v>100</v>
      </c>
      <c r="H6" s="73" t="s">
        <v>100</v>
      </c>
      <c r="I6" s="73" t="s">
        <v>100</v>
      </c>
      <c r="J6" s="73" t="s">
        <v>100</v>
      </c>
      <c r="K6" s="73" t="s">
        <v>100</v>
      </c>
      <c r="L6" s="73" t="s">
        <v>100</v>
      </c>
      <c r="M6" s="73" t="s">
        <v>100</v>
      </c>
      <c r="N6" s="73" t="s">
        <v>100</v>
      </c>
      <c r="O6" s="73" t="s">
        <v>100</v>
      </c>
      <c r="P6" s="73" t="s">
        <v>100</v>
      </c>
      <c r="Q6" s="73" t="s">
        <v>100</v>
      </c>
      <c r="R6" s="73" t="s">
        <v>100</v>
      </c>
      <c r="S6" s="73" t="s">
        <v>100</v>
      </c>
      <c r="T6" s="73" t="s">
        <v>100</v>
      </c>
      <c r="U6" s="73">
        <v>-45199</v>
      </c>
      <c r="V6" s="73">
        <v>-89844</v>
      </c>
      <c r="W6" s="73">
        <v>-63574</v>
      </c>
      <c r="X6" s="74">
        <v>-30032</v>
      </c>
      <c r="Y6" s="74">
        <v>-40249</v>
      </c>
      <c r="Z6" s="72">
        <v>-76471</v>
      </c>
      <c r="AA6" s="72">
        <v>-61278</v>
      </c>
      <c r="AB6" s="72">
        <v>-70088</v>
      </c>
      <c r="AC6" s="72">
        <v>-50709</v>
      </c>
      <c r="AD6" s="72">
        <v>-56810</v>
      </c>
      <c r="AE6" s="72">
        <v>-52614</v>
      </c>
      <c r="AF6" s="72">
        <v>-68197</v>
      </c>
      <c r="AG6" s="27"/>
    </row>
    <row r="7" spans="1:34" s="66" customFormat="1" ht="11.4">
      <c r="A7" s="82" t="s">
        <v>332</v>
      </c>
      <c r="B7" s="13" t="s">
        <v>517</v>
      </c>
      <c r="C7" s="73" t="s">
        <v>100</v>
      </c>
      <c r="D7" s="73" t="s">
        <v>100</v>
      </c>
      <c r="E7" s="73" t="s">
        <v>100</v>
      </c>
      <c r="F7" s="73" t="s">
        <v>100</v>
      </c>
      <c r="G7" s="73" t="s">
        <v>100</v>
      </c>
      <c r="H7" s="73" t="s">
        <v>100</v>
      </c>
      <c r="I7" s="73" t="s">
        <v>100</v>
      </c>
      <c r="J7" s="73" t="s">
        <v>100</v>
      </c>
      <c r="K7" s="73" t="s">
        <v>100</v>
      </c>
      <c r="L7" s="73" t="s">
        <v>100</v>
      </c>
      <c r="M7" s="73" t="s">
        <v>100</v>
      </c>
      <c r="N7" s="73" t="s">
        <v>100</v>
      </c>
      <c r="O7" s="73" t="s">
        <v>100</v>
      </c>
      <c r="P7" s="73" t="s">
        <v>100</v>
      </c>
      <c r="Q7" s="73" t="s">
        <v>100</v>
      </c>
      <c r="R7" s="73" t="s">
        <v>100</v>
      </c>
      <c r="S7" s="73" t="s">
        <v>100</v>
      </c>
      <c r="T7" s="73">
        <v>70</v>
      </c>
      <c r="U7" s="73">
        <v>328</v>
      </c>
      <c r="V7" s="73">
        <f>52-3324</f>
        <v>-3272</v>
      </c>
      <c r="W7" s="73">
        <v>45</v>
      </c>
      <c r="X7" s="74">
        <v>-13203</v>
      </c>
      <c r="Y7" s="74">
        <v>-4345</v>
      </c>
      <c r="Z7" s="72">
        <v>-1914</v>
      </c>
      <c r="AA7" s="72">
        <v>-2143</v>
      </c>
      <c r="AB7" s="72">
        <v>-1689</v>
      </c>
      <c r="AC7" s="72">
        <v>-1039</v>
      </c>
      <c r="AD7" s="72">
        <v>-1635</v>
      </c>
      <c r="AE7" s="72">
        <v>-825</v>
      </c>
      <c r="AF7" s="72">
        <v>-1702</v>
      </c>
      <c r="AG7" s="86"/>
    </row>
    <row r="8" spans="1:34" s="6" customFormat="1" ht="11.4">
      <c r="A8" s="6" t="s">
        <v>236</v>
      </c>
      <c r="B8" s="13" t="s">
        <v>77</v>
      </c>
      <c r="C8" s="72">
        <v>22190</v>
      </c>
      <c r="D8" s="72">
        <v>22164</v>
      </c>
      <c r="E8" s="72">
        <v>23763</v>
      </c>
      <c r="F8" s="72">
        <v>23276</v>
      </c>
      <c r="G8" s="72">
        <v>27358</v>
      </c>
      <c r="H8" s="72">
        <v>30926</v>
      </c>
      <c r="I8" s="72">
        <v>34081</v>
      </c>
      <c r="J8" s="72">
        <v>35909</v>
      </c>
      <c r="K8" s="72">
        <v>38711</v>
      </c>
      <c r="L8" s="72">
        <v>33083</v>
      </c>
      <c r="M8" s="72">
        <v>41290</v>
      </c>
      <c r="N8" s="72">
        <v>52478</v>
      </c>
      <c r="O8" s="75" t="s">
        <v>100</v>
      </c>
      <c r="P8" s="75" t="s">
        <v>100</v>
      </c>
      <c r="Q8" s="75" t="s">
        <v>100</v>
      </c>
      <c r="R8" s="75" t="s">
        <v>100</v>
      </c>
      <c r="S8" s="75" t="s">
        <v>100</v>
      </c>
      <c r="T8" s="75" t="s">
        <v>100</v>
      </c>
      <c r="U8" s="75" t="s">
        <v>100</v>
      </c>
      <c r="V8" s="75" t="s">
        <v>100</v>
      </c>
      <c r="W8" s="75" t="s">
        <v>100</v>
      </c>
      <c r="X8" s="75" t="s">
        <v>100</v>
      </c>
      <c r="Y8" s="75" t="s">
        <v>100</v>
      </c>
      <c r="Z8" s="75" t="s">
        <v>100</v>
      </c>
      <c r="AA8" s="75" t="s">
        <v>100</v>
      </c>
      <c r="AB8" s="75" t="s">
        <v>100</v>
      </c>
      <c r="AC8" s="75" t="s">
        <v>100</v>
      </c>
      <c r="AD8" s="75" t="s">
        <v>100</v>
      </c>
      <c r="AE8" s="75" t="s">
        <v>100</v>
      </c>
      <c r="AF8" s="75" t="s">
        <v>100</v>
      </c>
    </row>
    <row r="9" spans="1:34" s="6" customFormat="1" ht="22.8">
      <c r="A9" s="6" t="s">
        <v>228</v>
      </c>
      <c r="B9" s="13" t="s">
        <v>65</v>
      </c>
      <c r="C9" s="75" t="s">
        <v>100</v>
      </c>
      <c r="D9" s="75" t="s">
        <v>100</v>
      </c>
      <c r="E9" s="75" t="s">
        <v>100</v>
      </c>
      <c r="F9" s="75" t="s">
        <v>100</v>
      </c>
      <c r="G9" s="75" t="s">
        <v>100</v>
      </c>
      <c r="H9" s="75" t="s">
        <v>100</v>
      </c>
      <c r="I9" s="75" t="s">
        <v>100</v>
      </c>
      <c r="J9" s="75" t="s">
        <v>100</v>
      </c>
      <c r="K9" s="75" t="s">
        <v>100</v>
      </c>
      <c r="L9" s="75" t="s">
        <v>100</v>
      </c>
      <c r="M9" s="75" t="s">
        <v>100</v>
      </c>
      <c r="N9" s="75" t="s">
        <v>100</v>
      </c>
      <c r="O9" s="72">
        <v>22974</v>
      </c>
      <c r="P9" s="72">
        <v>23611</v>
      </c>
      <c r="Q9" s="72">
        <v>25016</v>
      </c>
      <c r="R9" s="72">
        <v>30438</v>
      </c>
      <c r="S9" s="72">
        <v>32225</v>
      </c>
      <c r="T9" s="72">
        <v>30280</v>
      </c>
      <c r="U9" s="72">
        <v>28995</v>
      </c>
      <c r="V9" s="72">
        <v>27684</v>
      </c>
      <c r="W9" s="72">
        <v>27168</v>
      </c>
      <c r="X9" s="72">
        <v>23424</v>
      </c>
      <c r="Y9" s="72">
        <v>18706</v>
      </c>
      <c r="Z9" s="72">
        <v>17277</v>
      </c>
      <c r="AA9" s="72">
        <v>16319</v>
      </c>
      <c r="AB9" s="72">
        <v>13563</v>
      </c>
      <c r="AC9" s="72">
        <v>12552</v>
      </c>
      <c r="AD9" s="72">
        <v>10590</v>
      </c>
      <c r="AE9" s="72">
        <v>16957</v>
      </c>
      <c r="AF9" s="72">
        <v>24894</v>
      </c>
      <c r="AG9" s="86"/>
    </row>
    <row r="10" spans="1:34" s="6" customFormat="1" ht="22.8">
      <c r="A10" s="6" t="s">
        <v>229</v>
      </c>
      <c r="B10" s="13" t="s">
        <v>66</v>
      </c>
      <c r="C10" s="75" t="s">
        <v>100</v>
      </c>
      <c r="D10" s="75" t="s">
        <v>100</v>
      </c>
      <c r="E10" s="75" t="s">
        <v>100</v>
      </c>
      <c r="F10" s="75" t="s">
        <v>100</v>
      </c>
      <c r="G10" s="75" t="s">
        <v>100</v>
      </c>
      <c r="H10" s="75" t="s">
        <v>100</v>
      </c>
      <c r="I10" s="75" t="s">
        <v>100</v>
      </c>
      <c r="J10" s="75" t="s">
        <v>100</v>
      </c>
      <c r="K10" s="75" t="s">
        <v>100</v>
      </c>
      <c r="L10" s="75" t="s">
        <v>100</v>
      </c>
      <c r="M10" s="75" t="s">
        <v>100</v>
      </c>
      <c r="N10" s="75" t="s">
        <v>100</v>
      </c>
      <c r="O10" s="72">
        <v>44757</v>
      </c>
      <c r="P10" s="72">
        <v>41377</v>
      </c>
      <c r="Q10" s="72">
        <v>39835</v>
      </c>
      <c r="R10" s="72">
        <v>36032</v>
      </c>
      <c r="S10" s="72">
        <v>33665</v>
      </c>
      <c r="T10" s="72">
        <v>35459</v>
      </c>
      <c r="U10" s="72">
        <v>36326</v>
      </c>
      <c r="V10" s="72">
        <v>40233</v>
      </c>
      <c r="W10" s="72">
        <v>43401</v>
      </c>
      <c r="X10" s="72">
        <v>37395</v>
      </c>
      <c r="Y10" s="72">
        <v>16561</v>
      </c>
      <c r="Z10" s="72">
        <v>8393</v>
      </c>
      <c r="AA10" s="72">
        <v>3906</v>
      </c>
      <c r="AB10" s="72">
        <v>6371</v>
      </c>
      <c r="AC10" s="72">
        <v>3367</v>
      </c>
      <c r="AD10" s="72">
        <v>21139</v>
      </c>
      <c r="AE10" s="72">
        <v>56139</v>
      </c>
      <c r="AF10" s="72">
        <v>78960</v>
      </c>
    </row>
    <row r="11" spans="1:34" s="6" customFormat="1" ht="11.4">
      <c r="A11" s="6" t="s">
        <v>230</v>
      </c>
      <c r="B11" s="13" t="s">
        <v>67</v>
      </c>
      <c r="C11" s="72">
        <v>7029</v>
      </c>
      <c r="D11" s="72">
        <v>6835</v>
      </c>
      <c r="E11" s="72">
        <v>6956</v>
      </c>
      <c r="F11" s="72">
        <v>6561</v>
      </c>
      <c r="G11" s="72">
        <v>6009</v>
      </c>
      <c r="H11" s="72">
        <v>5880</v>
      </c>
      <c r="I11" s="72">
        <v>2956</v>
      </c>
      <c r="J11" s="72">
        <v>-3281</v>
      </c>
      <c r="K11" s="72">
        <v>4896</v>
      </c>
      <c r="L11" s="72">
        <v>8718</v>
      </c>
      <c r="M11" s="72">
        <v>8275</v>
      </c>
      <c r="N11" s="72">
        <v>11821</v>
      </c>
      <c r="O11" s="72">
        <v>14660</v>
      </c>
      <c r="P11" s="72">
        <v>-1527</v>
      </c>
      <c r="Q11" s="72">
        <v>6288</v>
      </c>
      <c r="R11" s="72">
        <v>6275</v>
      </c>
      <c r="S11" s="72">
        <v>12906</v>
      </c>
      <c r="T11" s="72">
        <v>4023</v>
      </c>
      <c r="U11" s="72">
        <v>4288</v>
      </c>
      <c r="V11" s="72">
        <v>12876</v>
      </c>
      <c r="W11" s="72">
        <v>3952</v>
      </c>
      <c r="X11" s="72">
        <v>3099</v>
      </c>
      <c r="Y11" s="72">
        <v>5221</v>
      </c>
      <c r="Z11" s="72">
        <v>152</v>
      </c>
      <c r="AA11" s="72">
        <v>5263</v>
      </c>
      <c r="AB11" s="72">
        <v>3631</v>
      </c>
      <c r="AC11" s="72">
        <v>2764</v>
      </c>
      <c r="AD11" s="72">
        <v>4095</v>
      </c>
      <c r="AE11" s="72">
        <v>3593</v>
      </c>
      <c r="AF11" s="72">
        <v>5217</v>
      </c>
    </row>
    <row r="12" spans="1:34" s="6" customFormat="1" ht="22.8">
      <c r="A12" s="6" t="s">
        <v>231</v>
      </c>
      <c r="B12" s="13" t="s">
        <v>68</v>
      </c>
      <c r="C12" s="76" t="s">
        <v>100</v>
      </c>
      <c r="D12" s="76" t="s">
        <v>100</v>
      </c>
      <c r="E12" s="76" t="s">
        <v>100</v>
      </c>
      <c r="F12" s="76" t="s">
        <v>100</v>
      </c>
      <c r="G12" s="76" t="s">
        <v>100</v>
      </c>
      <c r="H12" s="76" t="s">
        <v>100</v>
      </c>
      <c r="I12" s="76" t="s">
        <v>100</v>
      </c>
      <c r="J12" s="72">
        <v>4554</v>
      </c>
      <c r="K12" s="72">
        <v>2835</v>
      </c>
      <c r="L12" s="72">
        <v>2049</v>
      </c>
      <c r="M12" s="72">
        <v>1531</v>
      </c>
      <c r="N12" s="72">
        <v>1408</v>
      </c>
      <c r="O12" s="72">
        <v>1125</v>
      </c>
      <c r="P12" s="72">
        <v>1623</v>
      </c>
      <c r="Q12" s="72">
        <v>1301</v>
      </c>
      <c r="R12" s="72">
        <v>728</v>
      </c>
      <c r="S12" s="72">
        <v>514</v>
      </c>
      <c r="T12" s="72">
        <v>1028</v>
      </c>
      <c r="U12" s="72">
        <v>3230</v>
      </c>
      <c r="V12" s="72">
        <v>1471</v>
      </c>
      <c r="W12" s="72">
        <v>877</v>
      </c>
      <c r="X12" s="72">
        <v>385</v>
      </c>
      <c r="Y12" s="72">
        <v>27</v>
      </c>
      <c r="Z12" s="72">
        <v>15</v>
      </c>
      <c r="AA12" s="72">
        <v>32</v>
      </c>
      <c r="AB12" s="72">
        <v>44</v>
      </c>
      <c r="AC12" s="72">
        <v>22</v>
      </c>
      <c r="AD12" s="72">
        <v>649</v>
      </c>
      <c r="AE12" s="72">
        <v>2656</v>
      </c>
      <c r="AF12" s="72">
        <v>6616</v>
      </c>
    </row>
    <row r="13" spans="1:34" s="6" customFormat="1" ht="22.8">
      <c r="A13" s="6" t="s">
        <v>196</v>
      </c>
      <c r="B13" s="13" t="s">
        <v>78</v>
      </c>
      <c r="C13" s="76">
        <v>0</v>
      </c>
      <c r="D13" s="76">
        <v>0</v>
      </c>
      <c r="E13" s="76">
        <v>0</v>
      </c>
      <c r="F13" s="76">
        <v>0</v>
      </c>
      <c r="G13" s="76">
        <v>0</v>
      </c>
      <c r="H13" s="76">
        <v>0</v>
      </c>
      <c r="I13" s="76">
        <v>0</v>
      </c>
      <c r="J13" s="72">
        <v>768</v>
      </c>
      <c r="K13" s="72">
        <v>0</v>
      </c>
      <c r="L13" s="72">
        <v>0</v>
      </c>
      <c r="M13" s="72">
        <v>0</v>
      </c>
      <c r="N13" s="72">
        <v>9281</v>
      </c>
      <c r="O13" s="75" t="s">
        <v>100</v>
      </c>
      <c r="P13" s="75" t="s">
        <v>100</v>
      </c>
      <c r="Q13" s="75" t="s">
        <v>100</v>
      </c>
      <c r="R13" s="75" t="s">
        <v>100</v>
      </c>
      <c r="S13" s="75" t="s">
        <v>100</v>
      </c>
      <c r="T13" s="75" t="s">
        <v>100</v>
      </c>
      <c r="U13" s="75" t="s">
        <v>100</v>
      </c>
      <c r="V13" s="75" t="s">
        <v>100</v>
      </c>
      <c r="W13" s="75" t="s">
        <v>100</v>
      </c>
      <c r="X13" s="75" t="s">
        <v>100</v>
      </c>
      <c r="Y13" s="75" t="s">
        <v>100</v>
      </c>
      <c r="Z13" s="75" t="s">
        <v>100</v>
      </c>
      <c r="AA13" s="75" t="s">
        <v>100</v>
      </c>
      <c r="AB13" s="75" t="s">
        <v>100</v>
      </c>
      <c r="AC13" s="75" t="s">
        <v>100</v>
      </c>
      <c r="AD13" s="75" t="s">
        <v>100</v>
      </c>
      <c r="AE13" s="75" t="s">
        <v>100</v>
      </c>
      <c r="AF13" s="75" t="s">
        <v>100</v>
      </c>
    </row>
    <row r="14" spans="1:34" s="6" customFormat="1" ht="11.4">
      <c r="A14" s="6" t="s">
        <v>233</v>
      </c>
      <c r="B14" s="13" t="s">
        <v>70</v>
      </c>
      <c r="C14" s="76"/>
      <c r="D14" s="76"/>
      <c r="E14" s="76"/>
      <c r="F14" s="76"/>
      <c r="G14" s="76"/>
      <c r="H14" s="76"/>
      <c r="I14" s="76"/>
      <c r="J14" s="72"/>
      <c r="K14" s="72"/>
      <c r="L14" s="72"/>
      <c r="M14" s="72"/>
      <c r="N14" s="72"/>
      <c r="O14" s="75"/>
      <c r="P14" s="75"/>
      <c r="Q14" s="75"/>
      <c r="R14" s="75" t="s">
        <v>100</v>
      </c>
      <c r="S14" s="75">
        <v>2753</v>
      </c>
      <c r="T14" s="75">
        <v>2919</v>
      </c>
      <c r="U14" s="75">
        <v>2936</v>
      </c>
      <c r="V14" s="75">
        <v>2888</v>
      </c>
      <c r="W14" s="75">
        <v>2772</v>
      </c>
      <c r="X14" s="72">
        <v>884</v>
      </c>
      <c r="Y14" s="72">
        <v>-7</v>
      </c>
      <c r="Z14" s="72">
        <v>77</v>
      </c>
      <c r="AA14" s="72">
        <v>-93</v>
      </c>
      <c r="AB14" s="72">
        <v>167</v>
      </c>
      <c r="AC14" s="72">
        <v>300</v>
      </c>
      <c r="AD14" s="72">
        <v>2273</v>
      </c>
      <c r="AE14" s="72">
        <v>9203</v>
      </c>
      <c r="AF14" s="72">
        <v>30422</v>
      </c>
    </row>
    <row r="15" spans="1:34" s="6" customFormat="1" ht="11.4">
      <c r="A15" s="6" t="s">
        <v>234</v>
      </c>
      <c r="B15" s="13" t="s">
        <v>71</v>
      </c>
      <c r="C15" s="76"/>
      <c r="D15" s="76"/>
      <c r="E15" s="76"/>
      <c r="F15" s="76"/>
      <c r="G15" s="76"/>
      <c r="H15" s="76"/>
      <c r="I15" s="76"/>
      <c r="J15" s="72"/>
      <c r="K15" s="72"/>
      <c r="L15" s="72"/>
      <c r="M15" s="72"/>
      <c r="N15" s="72"/>
      <c r="O15" s="75"/>
      <c r="P15" s="75"/>
      <c r="Q15" s="75"/>
      <c r="R15" s="75" t="s">
        <v>100</v>
      </c>
      <c r="S15" s="75">
        <v>241</v>
      </c>
      <c r="T15" s="75">
        <v>242</v>
      </c>
      <c r="U15" s="75">
        <v>266</v>
      </c>
      <c r="V15" s="75">
        <v>415</v>
      </c>
      <c r="W15" s="75">
        <v>207</v>
      </c>
      <c r="X15" s="72">
        <v>31</v>
      </c>
      <c r="Y15" s="72">
        <v>9</v>
      </c>
      <c r="Z15" s="72">
        <v>31</v>
      </c>
      <c r="AA15" s="72">
        <v>73</v>
      </c>
      <c r="AB15" s="72">
        <v>14</v>
      </c>
      <c r="AC15" s="72">
        <v>26</v>
      </c>
      <c r="AD15" s="72">
        <v>478</v>
      </c>
      <c r="AE15" s="72">
        <v>362</v>
      </c>
      <c r="AF15" s="72">
        <v>1288</v>
      </c>
    </row>
    <row r="16" spans="1:34" s="6" customFormat="1" ht="11.4">
      <c r="A16" s="6" t="s">
        <v>75</v>
      </c>
      <c r="B16" s="13" t="s">
        <v>75</v>
      </c>
      <c r="C16" s="76" t="s">
        <v>100</v>
      </c>
      <c r="D16" s="76" t="s">
        <v>100</v>
      </c>
      <c r="E16" s="76" t="s">
        <v>100</v>
      </c>
      <c r="F16" s="76" t="s">
        <v>100</v>
      </c>
      <c r="G16" s="76" t="s">
        <v>100</v>
      </c>
      <c r="H16" s="76" t="s">
        <v>100</v>
      </c>
      <c r="I16" s="76" t="s">
        <v>100</v>
      </c>
      <c r="J16" s="76" t="s">
        <v>100</v>
      </c>
      <c r="K16" s="72">
        <v>4514</v>
      </c>
      <c r="L16" s="72">
        <v>7295</v>
      </c>
      <c r="M16" s="72">
        <v>10215</v>
      </c>
      <c r="N16" s="72">
        <v>10889</v>
      </c>
      <c r="O16" s="72">
        <v>18026</v>
      </c>
      <c r="P16" s="72">
        <v>23137</v>
      </c>
      <c r="Q16" s="72">
        <v>28665</v>
      </c>
      <c r="R16" s="72">
        <v>33384</v>
      </c>
      <c r="S16" s="72">
        <f>39429-8488</f>
        <v>30941</v>
      </c>
      <c r="T16" s="72">
        <v>34305</v>
      </c>
      <c r="U16" s="72">
        <f>47222-10055</f>
        <v>37167</v>
      </c>
      <c r="V16" s="72">
        <f>39025+40</f>
        <v>39065</v>
      </c>
      <c r="W16" s="72">
        <v>39067</v>
      </c>
      <c r="X16" s="72">
        <v>40088</v>
      </c>
      <c r="Y16" s="72">
        <v>39730</v>
      </c>
      <c r="Z16" s="72">
        <v>38686</v>
      </c>
      <c r="AA16" s="72">
        <v>37605</v>
      </c>
      <c r="AB16" s="72">
        <v>38963</v>
      </c>
      <c r="AC16" s="72">
        <v>40074</v>
      </c>
      <c r="AD16" s="72">
        <v>41545</v>
      </c>
      <c r="AE16" s="72">
        <v>55958</v>
      </c>
      <c r="AF16" s="72">
        <v>74497</v>
      </c>
    </row>
    <row r="17" spans="1:33" s="6" customFormat="1" ht="11.4">
      <c r="A17" s="6" t="s">
        <v>288</v>
      </c>
      <c r="B17" s="13" t="s">
        <v>69</v>
      </c>
      <c r="C17" s="76">
        <v>500</v>
      </c>
      <c r="D17" s="76">
        <v>1138</v>
      </c>
      <c r="E17" s="76">
        <v>1308</v>
      </c>
      <c r="F17" s="76">
        <v>3965</v>
      </c>
      <c r="G17" s="76">
        <v>1924</v>
      </c>
      <c r="H17" s="76">
        <v>3940</v>
      </c>
      <c r="I17" s="76">
        <v>5323</v>
      </c>
      <c r="J17" s="76">
        <v>4663</v>
      </c>
      <c r="K17" s="72">
        <v>2488</v>
      </c>
      <c r="L17" s="72">
        <v>889</v>
      </c>
      <c r="M17" s="72">
        <v>1690</v>
      </c>
      <c r="N17" s="72">
        <v>-3659</v>
      </c>
      <c r="O17" s="72">
        <v>447</v>
      </c>
      <c r="P17" s="72">
        <v>399</v>
      </c>
      <c r="Q17" s="72">
        <v>419</v>
      </c>
      <c r="R17" s="72">
        <v>444</v>
      </c>
      <c r="S17" s="72">
        <f>520+8488</f>
        <v>9008</v>
      </c>
      <c r="T17" s="72">
        <v>9679</v>
      </c>
      <c r="U17" s="72">
        <f>230+10055</f>
        <v>10285</v>
      </c>
      <c r="V17" s="72">
        <f>12217-40</f>
        <v>12177</v>
      </c>
      <c r="W17" s="72">
        <v>10907</v>
      </c>
      <c r="X17" s="72">
        <v>11146</v>
      </c>
      <c r="Y17" s="72">
        <v>11481</v>
      </c>
      <c r="Z17" s="72">
        <v>11647</v>
      </c>
      <c r="AA17" s="72">
        <v>11305</v>
      </c>
      <c r="AB17" s="72">
        <v>11674</v>
      </c>
      <c r="AC17" s="72">
        <v>11292</v>
      </c>
      <c r="AD17" s="72">
        <v>13105</v>
      </c>
      <c r="AE17" s="72">
        <v>18395</v>
      </c>
      <c r="AF17" s="72">
        <v>34807</v>
      </c>
    </row>
    <row r="18" spans="1:33" s="6" customFormat="1" ht="11.4">
      <c r="A18" s="6" t="s">
        <v>232</v>
      </c>
      <c r="B18" s="13" t="s">
        <v>60</v>
      </c>
      <c r="C18" s="77">
        <v>101379</v>
      </c>
      <c r="D18" s="77">
        <v>112159</v>
      </c>
      <c r="E18" s="77">
        <v>108246</v>
      </c>
      <c r="F18" s="77">
        <v>104038</v>
      </c>
      <c r="G18" s="77">
        <v>32927</v>
      </c>
      <c r="H18" s="77">
        <v>33542</v>
      </c>
      <c r="I18" s="77">
        <v>32931</v>
      </c>
      <c r="J18" s="77">
        <v>57547</v>
      </c>
      <c r="K18" s="77">
        <v>70725</v>
      </c>
      <c r="L18" s="77">
        <v>40065</v>
      </c>
      <c r="M18" s="77">
        <v>30332</v>
      </c>
      <c r="N18" s="77">
        <v>31942</v>
      </c>
      <c r="O18" s="78" t="s">
        <v>100</v>
      </c>
      <c r="P18" s="78" t="s">
        <v>100</v>
      </c>
      <c r="Q18" s="78" t="s">
        <v>100</v>
      </c>
      <c r="R18" s="78" t="s">
        <v>100</v>
      </c>
      <c r="S18" s="78" t="s">
        <v>100</v>
      </c>
      <c r="T18" s="78" t="s">
        <v>100</v>
      </c>
      <c r="U18" s="78" t="s">
        <v>100</v>
      </c>
      <c r="V18" s="78" t="s">
        <v>100</v>
      </c>
      <c r="W18" s="78" t="s">
        <v>100</v>
      </c>
      <c r="X18" s="78" t="s">
        <v>100</v>
      </c>
      <c r="Y18" s="78" t="s">
        <v>100</v>
      </c>
      <c r="Z18" s="78" t="s">
        <v>100</v>
      </c>
      <c r="AA18" s="78" t="s">
        <v>100</v>
      </c>
      <c r="AB18" s="78" t="s">
        <v>100</v>
      </c>
      <c r="AC18" s="78" t="s">
        <v>100</v>
      </c>
      <c r="AD18" s="78" t="s">
        <v>100</v>
      </c>
      <c r="AE18" s="78" t="s">
        <v>100</v>
      </c>
      <c r="AF18" s="78" t="s">
        <v>100</v>
      </c>
    </row>
    <row r="19" spans="1:33" s="6" customFormat="1" ht="11.4">
      <c r="A19" s="6" t="s">
        <v>233</v>
      </c>
      <c r="B19" s="13" t="s">
        <v>70</v>
      </c>
      <c r="C19" s="72">
        <v>3992</v>
      </c>
      <c r="D19" s="72">
        <v>3557</v>
      </c>
      <c r="E19" s="72">
        <v>3694</v>
      </c>
      <c r="F19" s="72">
        <v>3954</v>
      </c>
      <c r="G19" s="72">
        <v>4142</v>
      </c>
      <c r="H19" s="72">
        <v>4406</v>
      </c>
      <c r="I19" s="72">
        <v>4689</v>
      </c>
      <c r="J19" s="72">
        <v>5721</v>
      </c>
      <c r="K19" s="72">
        <v>5963</v>
      </c>
      <c r="L19" s="72">
        <v>6140</v>
      </c>
      <c r="M19" s="72">
        <v>6472</v>
      </c>
      <c r="N19" s="72">
        <v>6581</v>
      </c>
      <c r="O19" s="75" t="s">
        <v>100</v>
      </c>
      <c r="P19" s="75" t="s">
        <v>100</v>
      </c>
      <c r="Q19" s="75" t="s">
        <v>100</v>
      </c>
      <c r="R19" s="75" t="s">
        <v>100</v>
      </c>
      <c r="S19" s="75" t="s">
        <v>100</v>
      </c>
      <c r="T19" s="75" t="s">
        <v>100</v>
      </c>
      <c r="U19" s="75" t="s">
        <v>100</v>
      </c>
      <c r="V19" s="75" t="s">
        <v>100</v>
      </c>
      <c r="W19" s="75" t="s">
        <v>100</v>
      </c>
      <c r="X19" s="75" t="s">
        <v>100</v>
      </c>
      <c r="Y19" s="75" t="s">
        <v>100</v>
      </c>
      <c r="Z19" s="75" t="s">
        <v>100</v>
      </c>
      <c r="AA19" s="75" t="s">
        <v>100</v>
      </c>
      <c r="AB19" s="75" t="s">
        <v>100</v>
      </c>
      <c r="AC19" s="75" t="s">
        <v>100</v>
      </c>
      <c r="AD19" s="75" t="s">
        <v>100</v>
      </c>
      <c r="AE19" s="75" t="s">
        <v>100</v>
      </c>
      <c r="AF19" s="75" t="s">
        <v>100</v>
      </c>
    </row>
    <row r="20" spans="1:33" s="6" customFormat="1" ht="11.4">
      <c r="A20" s="6" t="s">
        <v>234</v>
      </c>
      <c r="B20" s="13" t="s">
        <v>71</v>
      </c>
      <c r="C20" s="72">
        <v>136</v>
      </c>
      <c r="D20" s="72">
        <v>464</v>
      </c>
      <c r="E20" s="72">
        <v>425</v>
      </c>
      <c r="F20" s="72">
        <v>284</v>
      </c>
      <c r="G20" s="72">
        <v>113</v>
      </c>
      <c r="H20" s="72">
        <v>221</v>
      </c>
      <c r="I20" s="72">
        <v>352</v>
      </c>
      <c r="J20" s="72">
        <v>499</v>
      </c>
      <c r="K20" s="72">
        <v>283</v>
      </c>
      <c r="L20" s="72">
        <v>566</v>
      </c>
      <c r="M20" s="72">
        <v>264</v>
      </c>
      <c r="N20" s="72">
        <v>445</v>
      </c>
      <c r="O20" s="75" t="s">
        <v>100</v>
      </c>
      <c r="P20" s="75" t="s">
        <v>100</v>
      </c>
      <c r="Q20" s="75" t="s">
        <v>100</v>
      </c>
      <c r="R20" s="75" t="s">
        <v>100</v>
      </c>
      <c r="S20" s="75" t="s">
        <v>100</v>
      </c>
      <c r="T20" s="75" t="s">
        <v>100</v>
      </c>
      <c r="U20" s="75" t="s">
        <v>100</v>
      </c>
      <c r="V20" s="75" t="s">
        <v>100</v>
      </c>
      <c r="W20" s="75" t="s">
        <v>100</v>
      </c>
      <c r="X20" s="75" t="s">
        <v>100</v>
      </c>
      <c r="Y20" s="75" t="s">
        <v>100</v>
      </c>
      <c r="Z20" s="75" t="s">
        <v>100</v>
      </c>
      <c r="AA20" s="75" t="s">
        <v>100</v>
      </c>
      <c r="AB20" s="75" t="s">
        <v>100</v>
      </c>
      <c r="AC20" s="75" t="s">
        <v>100</v>
      </c>
      <c r="AD20" s="75" t="s">
        <v>100</v>
      </c>
      <c r="AE20" s="75" t="s">
        <v>100</v>
      </c>
      <c r="AF20" s="75" t="s">
        <v>100</v>
      </c>
    </row>
    <row r="21" spans="1:33" s="6" customFormat="1" ht="11.4">
      <c r="A21" s="6" t="s">
        <v>235</v>
      </c>
      <c r="B21" s="13" t="s">
        <v>63</v>
      </c>
      <c r="C21" s="72">
        <v>97251</v>
      </c>
      <c r="D21" s="72">
        <v>108138</v>
      </c>
      <c r="E21" s="72">
        <v>104127</v>
      </c>
      <c r="F21" s="72">
        <v>99800</v>
      </c>
      <c r="G21" s="72">
        <v>28672</v>
      </c>
      <c r="H21" s="72">
        <v>28915</v>
      </c>
      <c r="I21" s="72">
        <v>27890</v>
      </c>
      <c r="J21" s="72">
        <v>51327</v>
      </c>
      <c r="K21" s="72">
        <v>64479</v>
      </c>
      <c r="L21" s="72">
        <v>33359</v>
      </c>
      <c r="M21" s="72">
        <v>23596</v>
      </c>
      <c r="N21" s="72">
        <v>24916</v>
      </c>
      <c r="O21" s="75" t="s">
        <v>100</v>
      </c>
      <c r="P21" s="75" t="s">
        <v>100</v>
      </c>
      <c r="Q21" s="75" t="s">
        <v>100</v>
      </c>
      <c r="R21" s="75" t="s">
        <v>100</v>
      </c>
      <c r="S21" s="75" t="s">
        <v>100</v>
      </c>
      <c r="T21" s="75" t="s">
        <v>100</v>
      </c>
      <c r="U21" s="75" t="s">
        <v>100</v>
      </c>
      <c r="V21" s="75" t="s">
        <v>100</v>
      </c>
      <c r="W21" s="75" t="s">
        <v>100</v>
      </c>
      <c r="X21" s="75" t="s">
        <v>100</v>
      </c>
      <c r="Y21" s="75" t="s">
        <v>100</v>
      </c>
      <c r="Z21" s="75" t="s">
        <v>100</v>
      </c>
      <c r="AA21" s="75" t="s">
        <v>100</v>
      </c>
      <c r="AB21" s="75" t="s">
        <v>100</v>
      </c>
      <c r="AC21" s="75" t="s">
        <v>100</v>
      </c>
      <c r="AD21" s="75" t="s">
        <v>100</v>
      </c>
      <c r="AE21" s="75" t="s">
        <v>100</v>
      </c>
      <c r="AF21" s="75" t="s">
        <v>100</v>
      </c>
    </row>
    <row r="22" spans="1:33" s="6" customFormat="1" ht="11.4">
      <c r="A22" s="6" t="s">
        <v>232</v>
      </c>
      <c r="B22" s="69" t="s">
        <v>14</v>
      </c>
      <c r="C22" s="70" t="s">
        <v>100</v>
      </c>
      <c r="D22" s="70" t="s">
        <v>100</v>
      </c>
      <c r="E22" s="70" t="s">
        <v>100</v>
      </c>
      <c r="F22" s="70" t="s">
        <v>100</v>
      </c>
      <c r="G22" s="70" t="s">
        <v>100</v>
      </c>
      <c r="H22" s="70" t="s">
        <v>100</v>
      </c>
      <c r="I22" s="70" t="s">
        <v>100</v>
      </c>
      <c r="J22" s="70" t="s">
        <v>100</v>
      </c>
      <c r="K22" s="70" t="s">
        <v>100</v>
      </c>
      <c r="L22" s="70" t="s">
        <v>100</v>
      </c>
      <c r="M22" s="70" t="s">
        <v>100</v>
      </c>
      <c r="N22" s="70" t="s">
        <v>100</v>
      </c>
      <c r="O22" s="71">
        <v>35078</v>
      </c>
      <c r="P22" s="71">
        <v>52175</v>
      </c>
      <c r="Q22" s="71">
        <v>38463</v>
      </c>
      <c r="R22" s="71">
        <f>38112-12913</f>
        <v>25199</v>
      </c>
      <c r="S22" s="71">
        <f t="shared" ref="S22:X22" si="3">S25</f>
        <v>33474</v>
      </c>
      <c r="T22" s="71">
        <f t="shared" si="3"/>
        <v>35442</v>
      </c>
      <c r="U22" s="71">
        <f t="shared" si="3"/>
        <v>44164</v>
      </c>
      <c r="V22" s="71">
        <f t="shared" si="3"/>
        <v>40445</v>
      </c>
      <c r="W22" s="71">
        <f t="shared" si="3"/>
        <v>22486</v>
      </c>
      <c r="X22" s="71">
        <f t="shared" si="3"/>
        <v>38304</v>
      </c>
      <c r="Y22" s="71">
        <v>54324</v>
      </c>
      <c r="Z22" s="71">
        <f t="shared" ref="Z22:AE22" si="4">Z25</f>
        <v>58714</v>
      </c>
      <c r="AA22" s="71">
        <f t="shared" si="4"/>
        <v>62130</v>
      </c>
      <c r="AB22" s="71">
        <f t="shared" si="4"/>
        <v>48787</v>
      </c>
      <c r="AC22" s="71">
        <f t="shared" si="4"/>
        <v>52444</v>
      </c>
      <c r="AD22" s="71">
        <f t="shared" si="4"/>
        <v>35977</v>
      </c>
      <c r="AE22" s="71">
        <f t="shared" si="4"/>
        <v>22660</v>
      </c>
      <c r="AF22" s="71">
        <f t="shared" ref="AF22" si="5">AF25</f>
        <v>9985</v>
      </c>
    </row>
    <row r="23" spans="1:33" s="6" customFormat="1" ht="11.4">
      <c r="A23" s="6" t="s">
        <v>233</v>
      </c>
      <c r="B23" s="13" t="s">
        <v>70</v>
      </c>
      <c r="C23" s="75" t="s">
        <v>100</v>
      </c>
      <c r="D23" s="75" t="s">
        <v>100</v>
      </c>
      <c r="E23" s="75" t="s">
        <v>100</v>
      </c>
      <c r="F23" s="75" t="s">
        <v>100</v>
      </c>
      <c r="G23" s="75" t="s">
        <v>100</v>
      </c>
      <c r="H23" s="75" t="s">
        <v>100</v>
      </c>
      <c r="I23" s="75" t="s">
        <v>100</v>
      </c>
      <c r="J23" s="75" t="s">
        <v>100</v>
      </c>
      <c r="K23" s="75" t="s">
        <v>100</v>
      </c>
      <c r="L23" s="75" t="s">
        <v>100</v>
      </c>
      <c r="M23" s="75" t="s">
        <v>100</v>
      </c>
      <c r="N23" s="75" t="s">
        <v>100</v>
      </c>
      <c r="O23" s="72">
        <v>2717</v>
      </c>
      <c r="P23" s="72">
        <v>2564</v>
      </c>
      <c r="Q23" s="72">
        <v>2644</v>
      </c>
      <c r="R23" s="72">
        <v>2793</v>
      </c>
      <c r="S23" s="75" t="s">
        <v>100</v>
      </c>
      <c r="T23" s="75" t="s">
        <v>100</v>
      </c>
      <c r="U23" s="75" t="s">
        <v>100</v>
      </c>
      <c r="V23" s="75" t="s">
        <v>100</v>
      </c>
      <c r="W23" s="75" t="s">
        <v>100</v>
      </c>
      <c r="X23" s="75" t="s">
        <v>100</v>
      </c>
      <c r="Y23" s="75" t="s">
        <v>100</v>
      </c>
      <c r="Z23" s="75" t="s">
        <v>100</v>
      </c>
      <c r="AA23" s="75" t="s">
        <v>100</v>
      </c>
      <c r="AB23" s="75" t="s">
        <v>100</v>
      </c>
      <c r="AC23" s="75" t="s">
        <v>100</v>
      </c>
      <c r="AD23" s="75" t="s">
        <v>100</v>
      </c>
      <c r="AE23" s="75" t="s">
        <v>100</v>
      </c>
      <c r="AF23" s="75" t="s">
        <v>100</v>
      </c>
    </row>
    <row r="24" spans="1:33" s="6" customFormat="1" ht="11.4">
      <c r="A24" s="6" t="s">
        <v>234</v>
      </c>
      <c r="B24" s="13" t="s">
        <v>71</v>
      </c>
      <c r="C24" s="75" t="s">
        <v>100</v>
      </c>
      <c r="D24" s="75" t="s">
        <v>100</v>
      </c>
      <c r="E24" s="75" t="s">
        <v>100</v>
      </c>
      <c r="F24" s="75" t="s">
        <v>100</v>
      </c>
      <c r="G24" s="75" t="s">
        <v>100</v>
      </c>
      <c r="H24" s="75" t="s">
        <v>100</v>
      </c>
      <c r="I24" s="75" t="s">
        <v>100</v>
      </c>
      <c r="J24" s="75" t="s">
        <v>100</v>
      </c>
      <c r="K24" s="75" t="s">
        <v>100</v>
      </c>
      <c r="L24" s="75" t="s">
        <v>100</v>
      </c>
      <c r="M24" s="75" t="s">
        <v>100</v>
      </c>
      <c r="N24" s="75" t="s">
        <v>100</v>
      </c>
      <c r="O24" s="72">
        <v>490</v>
      </c>
      <c r="P24" s="72">
        <v>624</v>
      </c>
      <c r="Q24" s="72">
        <v>572</v>
      </c>
      <c r="R24" s="72">
        <v>509</v>
      </c>
      <c r="S24" s="75" t="s">
        <v>100</v>
      </c>
      <c r="T24" s="75" t="s">
        <v>100</v>
      </c>
      <c r="U24" s="75" t="s">
        <v>100</v>
      </c>
      <c r="V24" s="75" t="s">
        <v>100</v>
      </c>
      <c r="W24" s="75" t="s">
        <v>100</v>
      </c>
      <c r="X24" s="75" t="s">
        <v>100</v>
      </c>
      <c r="Y24" s="75" t="s">
        <v>100</v>
      </c>
      <c r="Z24" s="75" t="s">
        <v>100</v>
      </c>
      <c r="AA24" s="75" t="s">
        <v>100</v>
      </c>
      <c r="AB24" s="75" t="s">
        <v>100</v>
      </c>
      <c r="AC24" s="75" t="s">
        <v>100</v>
      </c>
      <c r="AD24" s="75" t="s">
        <v>100</v>
      </c>
      <c r="AE24" s="75" t="s">
        <v>100</v>
      </c>
      <c r="AF24" s="75" t="s">
        <v>100</v>
      </c>
    </row>
    <row r="25" spans="1:33" s="6" customFormat="1" ht="11.4">
      <c r="A25" s="6" t="s">
        <v>235</v>
      </c>
      <c r="B25" s="13" t="s">
        <v>79</v>
      </c>
      <c r="C25" s="75" t="s">
        <v>100</v>
      </c>
      <c r="D25" s="75" t="s">
        <v>100</v>
      </c>
      <c r="E25" s="75" t="s">
        <v>100</v>
      </c>
      <c r="F25" s="75" t="s">
        <v>100</v>
      </c>
      <c r="G25" s="75" t="s">
        <v>100</v>
      </c>
      <c r="H25" s="75" t="s">
        <v>100</v>
      </c>
      <c r="I25" s="75" t="s">
        <v>100</v>
      </c>
      <c r="J25" s="75" t="s">
        <v>100</v>
      </c>
      <c r="K25" s="75" t="s">
        <v>100</v>
      </c>
      <c r="L25" s="75" t="s">
        <v>100</v>
      </c>
      <c r="M25" s="75" t="s">
        <v>100</v>
      </c>
      <c r="N25" s="75" t="s">
        <v>100</v>
      </c>
      <c r="O25" s="72">
        <v>31871</v>
      </c>
      <c r="P25" s="72">
        <v>48987</v>
      </c>
      <c r="Q25" s="72">
        <v>35247</v>
      </c>
      <c r="R25" s="72">
        <v>34810</v>
      </c>
      <c r="S25" s="72">
        <v>33474</v>
      </c>
      <c r="T25" s="72">
        <v>35442</v>
      </c>
      <c r="U25" s="72">
        <v>44164</v>
      </c>
      <c r="V25" s="72">
        <v>40445</v>
      </c>
      <c r="W25" s="72">
        <v>22486</v>
      </c>
      <c r="X25" s="72">
        <v>38304</v>
      </c>
      <c r="Y25" s="72">
        <v>54324</v>
      </c>
      <c r="Z25" s="72">
        <v>58714</v>
      </c>
      <c r="AA25" s="72">
        <v>62130</v>
      </c>
      <c r="AB25" s="72">
        <v>48787</v>
      </c>
      <c r="AC25" s="72">
        <v>52444</v>
      </c>
      <c r="AD25" s="72">
        <v>35977</v>
      </c>
      <c r="AE25" s="72">
        <v>22660</v>
      </c>
      <c r="AF25" s="72">
        <v>9985</v>
      </c>
    </row>
    <row r="26" spans="1:33" s="6" customFormat="1" ht="12" thickBot="1">
      <c r="A26" s="6" t="s">
        <v>203</v>
      </c>
      <c r="B26" s="37" t="s">
        <v>1</v>
      </c>
      <c r="C26" s="40">
        <f>C27+C34</f>
        <v>-211821</v>
      </c>
      <c r="D26" s="40">
        <f t="shared" ref="D26:T26" si="6">D27+D34</f>
        <v>-222926</v>
      </c>
      <c r="E26" s="40">
        <f t="shared" si="6"/>
        <v>-230697</v>
      </c>
      <c r="F26" s="40">
        <f t="shared" si="6"/>
        <v>-232763</v>
      </c>
      <c r="G26" s="40">
        <f t="shared" si="6"/>
        <v>-165508</v>
      </c>
      <c r="H26" s="40">
        <f t="shared" si="6"/>
        <v>-169958</v>
      </c>
      <c r="I26" s="40">
        <f t="shared" si="6"/>
        <v>-165380</v>
      </c>
      <c r="J26" s="40">
        <f t="shared" si="6"/>
        <v>-196986</v>
      </c>
      <c r="K26" s="40">
        <f t="shared" si="6"/>
        <v>-204313</v>
      </c>
      <c r="L26" s="40">
        <f t="shared" si="6"/>
        <v>-170049</v>
      </c>
      <c r="M26" s="40">
        <f t="shared" si="6"/>
        <v>-175482</v>
      </c>
      <c r="N26" s="40">
        <f t="shared" si="6"/>
        <v>-195146</v>
      </c>
      <c r="O26" s="40">
        <f t="shared" si="6"/>
        <v>-210323</v>
      </c>
      <c r="P26" s="40">
        <f t="shared" si="6"/>
        <v>-228486</v>
      </c>
      <c r="Q26" s="40">
        <f t="shared" si="6"/>
        <v>-213747</v>
      </c>
      <c r="R26" s="40">
        <f t="shared" si="6"/>
        <v>-219292</v>
      </c>
      <c r="S26" s="40">
        <f t="shared" si="6"/>
        <v>-216279</v>
      </c>
      <c r="T26" s="40">
        <f t="shared" si="6"/>
        <v>-217172</v>
      </c>
      <c r="U26" s="40">
        <v>-226328</v>
      </c>
      <c r="V26" s="40">
        <v>-218067</v>
      </c>
      <c r="W26" s="40">
        <f>W27+W34</f>
        <v>-183553</v>
      </c>
      <c r="X26" s="40">
        <f>X27+X34</f>
        <v>-137708</v>
      </c>
      <c r="Y26" s="40">
        <v>-97794</v>
      </c>
      <c r="Z26" s="40">
        <f t="shared" ref="Z26:AE26" si="7">Z27+Z34</f>
        <v>-67460</v>
      </c>
      <c r="AA26" s="40">
        <f t="shared" si="7"/>
        <v>-74488</v>
      </c>
      <c r="AB26" s="40">
        <f t="shared" si="7"/>
        <v>-51260</v>
      </c>
      <c r="AC26" s="40">
        <f t="shared" si="7"/>
        <v>-46495</v>
      </c>
      <c r="AD26" s="40">
        <f t="shared" si="7"/>
        <v>-66165</v>
      </c>
      <c r="AE26" s="40">
        <f t="shared" si="7"/>
        <v>-183412</v>
      </c>
      <c r="AF26" s="40">
        <f t="shared" ref="AF26" si="8">AF27+AF34</f>
        <v>-377730</v>
      </c>
    </row>
    <row r="27" spans="1:33" s="6" customFormat="1" ht="34.200000000000003">
      <c r="A27" s="6" t="s">
        <v>237</v>
      </c>
      <c r="B27" s="68" t="s">
        <v>62</v>
      </c>
      <c r="C27" s="79">
        <v>-112865</v>
      </c>
      <c r="D27" s="79">
        <v>-115979</v>
      </c>
      <c r="E27" s="79">
        <v>-126557</v>
      </c>
      <c r="F27" s="79">
        <v>-133840</v>
      </c>
      <c r="G27" s="79">
        <v>-139447</v>
      </c>
      <c r="H27" s="79">
        <v>-143107</v>
      </c>
      <c r="I27" s="79">
        <v>-133054</v>
      </c>
      <c r="J27" s="79">
        <v>-129162</v>
      </c>
      <c r="K27" s="79">
        <v>-121222</v>
      </c>
      <c r="L27" s="79">
        <v>-114705</v>
      </c>
      <c r="M27" s="79">
        <v>-127339</v>
      </c>
      <c r="N27" s="79">
        <v>-132547</v>
      </c>
      <c r="O27" s="79">
        <v>-139201</v>
      </c>
      <c r="P27" s="79">
        <v>-139994</v>
      </c>
      <c r="Q27" s="79">
        <v>-127879</v>
      </c>
      <c r="R27" s="79">
        <v>-127707</v>
      </c>
      <c r="S27" s="79">
        <v>-126710</v>
      </c>
      <c r="T27" s="79">
        <v>-129634</v>
      </c>
      <c r="U27" s="79">
        <v>-132828</v>
      </c>
      <c r="V27" s="79">
        <v>-125696</v>
      </c>
      <c r="W27" s="79">
        <f>SUM(W28:W33)</f>
        <v>-109269</v>
      </c>
      <c r="X27" s="79">
        <f>SUM(X28:X33)</f>
        <v>-82135</v>
      </c>
      <c r="Y27" s="79">
        <v>-61558</v>
      </c>
      <c r="Z27" s="87">
        <f t="shared" ref="Z27:AE27" si="9">SUM(Z28:Z33)</f>
        <v>-33778</v>
      </c>
      <c r="AA27" s="87">
        <f t="shared" si="9"/>
        <v>-31824</v>
      </c>
      <c r="AB27" s="87">
        <f t="shared" si="9"/>
        <v>-24912</v>
      </c>
      <c r="AC27" s="87">
        <f t="shared" si="9"/>
        <v>-21664</v>
      </c>
      <c r="AD27" s="87">
        <f t="shared" si="9"/>
        <v>-28634</v>
      </c>
      <c r="AE27" s="87">
        <f t="shared" si="9"/>
        <v>-52418</v>
      </c>
      <c r="AF27" s="87">
        <f t="shared" ref="AF27" si="10">SUM(AF28:AF33)</f>
        <v>-122042</v>
      </c>
    </row>
    <row r="28" spans="1:33" s="6" customFormat="1" ht="11.4">
      <c r="A28" s="6" t="s">
        <v>225</v>
      </c>
      <c r="B28" s="13" t="s">
        <v>72</v>
      </c>
      <c r="C28" s="72">
        <v>-83108</v>
      </c>
      <c r="D28" s="72">
        <v>-85929</v>
      </c>
      <c r="E28" s="72">
        <v>-98190</v>
      </c>
      <c r="F28" s="72">
        <v>-101082</v>
      </c>
      <c r="G28" s="72">
        <v>-106815</v>
      </c>
      <c r="H28" s="72">
        <v>-106960</v>
      </c>
      <c r="I28" s="72">
        <v>-97203</v>
      </c>
      <c r="J28" s="72">
        <v>-89415</v>
      </c>
      <c r="K28" s="72">
        <v>-84885</v>
      </c>
      <c r="L28" s="72">
        <v>-78620</v>
      </c>
      <c r="M28" s="72">
        <v>-88967</v>
      </c>
      <c r="N28" s="72">
        <v>-93431</v>
      </c>
      <c r="O28" s="72">
        <v>-94796</v>
      </c>
      <c r="P28" s="72">
        <v>-95383</v>
      </c>
      <c r="Q28" s="72">
        <v>-88316</v>
      </c>
      <c r="R28" s="72">
        <v>-87074</v>
      </c>
      <c r="S28" s="72">
        <v>-86329</v>
      </c>
      <c r="T28" s="72">
        <v>-89530</v>
      </c>
      <c r="U28" s="72">
        <v>-91360</v>
      </c>
      <c r="V28" s="72">
        <v>-83740</v>
      </c>
      <c r="W28" s="72">
        <v>-68715</v>
      </c>
      <c r="X28" s="72">
        <v>-46725</v>
      </c>
      <c r="Y28" s="72">
        <v>-29069</v>
      </c>
      <c r="Z28" s="72">
        <v>-17480</v>
      </c>
      <c r="AA28" s="72">
        <v>-11091</v>
      </c>
      <c r="AB28" s="72">
        <v>-7104</v>
      </c>
      <c r="AC28" s="72">
        <v>-5186</v>
      </c>
      <c r="AD28" s="72">
        <v>-9392</v>
      </c>
      <c r="AE28" s="72">
        <v>-26586</v>
      </c>
      <c r="AF28" s="72">
        <v>-67509</v>
      </c>
    </row>
    <row r="29" spans="1:33" s="6" customFormat="1" ht="11.4">
      <c r="A29" s="6" t="s">
        <v>238</v>
      </c>
      <c r="B29" s="13" t="s">
        <v>73</v>
      </c>
      <c r="C29" s="72">
        <v>-22949</v>
      </c>
      <c r="D29" s="72">
        <v>-24724</v>
      </c>
      <c r="E29" s="72">
        <v>-24964</v>
      </c>
      <c r="F29" s="72">
        <v>-29368</v>
      </c>
      <c r="G29" s="72">
        <v>-28597</v>
      </c>
      <c r="H29" s="72">
        <v>-30455</v>
      </c>
      <c r="I29" s="72">
        <v>-31754</v>
      </c>
      <c r="J29" s="72">
        <v>-33333</v>
      </c>
      <c r="K29" s="72">
        <v>-29509</v>
      </c>
      <c r="L29" s="72">
        <v>-29123</v>
      </c>
      <c r="M29" s="72">
        <v>-30506</v>
      </c>
      <c r="N29" s="72">
        <v>-32768</v>
      </c>
      <c r="O29" s="72">
        <v>-37135</v>
      </c>
      <c r="P29" s="72">
        <v>-36247</v>
      </c>
      <c r="Q29" s="72">
        <v>-32792</v>
      </c>
      <c r="R29" s="72">
        <v>-33511</v>
      </c>
      <c r="S29" s="72">
        <v>-32117</v>
      </c>
      <c r="T29" s="72">
        <v>-32079</v>
      </c>
      <c r="U29" s="72">
        <v>-33012</v>
      </c>
      <c r="V29" s="72">
        <v>-34785</v>
      </c>
      <c r="W29" s="72">
        <v>-30307</v>
      </c>
      <c r="X29" s="72">
        <v>-31889</v>
      </c>
      <c r="Y29" s="72">
        <v>-29793</v>
      </c>
      <c r="Z29" s="72">
        <v>-15184</v>
      </c>
      <c r="AA29" s="72">
        <v>-19124</v>
      </c>
      <c r="AB29" s="72">
        <v>-16177</v>
      </c>
      <c r="AC29" s="72">
        <v>-14686</v>
      </c>
      <c r="AD29" s="72">
        <v>-15418</v>
      </c>
      <c r="AE29" s="72">
        <v>-14242</v>
      </c>
      <c r="AF29" s="72">
        <v>-22574</v>
      </c>
    </row>
    <row r="30" spans="1:33" s="6" customFormat="1" ht="22.8">
      <c r="A30" s="6" t="s">
        <v>231</v>
      </c>
      <c r="B30" s="13" t="s">
        <v>68</v>
      </c>
      <c r="C30" s="72">
        <v>-5380</v>
      </c>
      <c r="D30" s="72">
        <v>-4629</v>
      </c>
      <c r="E30" s="72">
        <v>-1828</v>
      </c>
      <c r="F30" s="72">
        <v>-2251</v>
      </c>
      <c r="G30" s="72">
        <v>-2384</v>
      </c>
      <c r="H30" s="72">
        <v>-3715</v>
      </c>
      <c r="I30" s="72">
        <v>-3118</v>
      </c>
      <c r="J30" s="72">
        <v>-4620</v>
      </c>
      <c r="K30" s="72">
        <v>-4096</v>
      </c>
      <c r="L30" s="72">
        <v>-3770</v>
      </c>
      <c r="M30" s="72">
        <v>-4612</v>
      </c>
      <c r="N30" s="72">
        <v>-3521</v>
      </c>
      <c r="O30" s="72">
        <v>-4286</v>
      </c>
      <c r="P30" s="72">
        <v>-4243</v>
      </c>
      <c r="Q30" s="72">
        <v>-3245</v>
      </c>
      <c r="R30" s="72">
        <v>-2879</v>
      </c>
      <c r="S30" s="72">
        <v>-3559</v>
      </c>
      <c r="T30" s="72">
        <v>-3059</v>
      </c>
      <c r="U30" s="72">
        <v>-2904</v>
      </c>
      <c r="V30" s="72">
        <v>-3347</v>
      </c>
      <c r="W30" s="72">
        <v>-4685</v>
      </c>
      <c r="X30" s="72">
        <v>-724</v>
      </c>
      <c r="Y30" s="72">
        <v>-78</v>
      </c>
      <c r="Z30" s="72">
        <v>-56</v>
      </c>
      <c r="AA30" s="72">
        <v>-20</v>
      </c>
      <c r="AB30" s="72">
        <v>-29</v>
      </c>
      <c r="AC30" s="72">
        <v>-40</v>
      </c>
      <c r="AD30" s="72">
        <v>-1204</v>
      </c>
      <c r="AE30" s="72">
        <v>-8613</v>
      </c>
      <c r="AF30" s="72">
        <v>-28475</v>
      </c>
    </row>
    <row r="31" spans="1:33" s="6" customFormat="1" ht="11.4">
      <c r="A31" s="6" t="s">
        <v>239</v>
      </c>
      <c r="B31" s="13" t="s">
        <v>74</v>
      </c>
      <c r="C31" s="72">
        <v>-910</v>
      </c>
      <c r="D31" s="72">
        <v>274</v>
      </c>
      <c r="E31" s="72">
        <v>-950</v>
      </c>
      <c r="F31" s="72">
        <v>-601</v>
      </c>
      <c r="G31" s="72">
        <v>-1081</v>
      </c>
      <c r="H31" s="72">
        <v>-1159</v>
      </c>
      <c r="I31" s="72">
        <v>-504</v>
      </c>
      <c r="J31" s="72">
        <v>-702</v>
      </c>
      <c r="K31" s="72">
        <v>-1017</v>
      </c>
      <c r="L31" s="72">
        <v>-837</v>
      </c>
      <c r="M31" s="72">
        <v>-779</v>
      </c>
      <c r="N31" s="72">
        <v>-667</v>
      </c>
      <c r="O31" s="72">
        <v>-825</v>
      </c>
      <c r="P31" s="72">
        <v>-735</v>
      </c>
      <c r="Q31" s="72">
        <v>-732</v>
      </c>
      <c r="R31" s="72">
        <v>-365</v>
      </c>
      <c r="S31" s="72">
        <v>-767</v>
      </c>
      <c r="T31" s="72">
        <v>-622</v>
      </c>
      <c r="U31" s="72">
        <v>-280</v>
      </c>
      <c r="V31" s="72">
        <v>-553</v>
      </c>
      <c r="W31" s="72">
        <v>-739</v>
      </c>
      <c r="X31" s="72">
        <v>-521</v>
      </c>
      <c r="Y31" s="72">
        <v>-383</v>
      </c>
      <c r="Z31" s="72">
        <v>-552</v>
      </c>
      <c r="AA31" s="72">
        <v>-574</v>
      </c>
      <c r="AB31" s="72">
        <v>-655</v>
      </c>
      <c r="AC31" s="72">
        <v>-835</v>
      </c>
      <c r="AD31" s="72">
        <v>-1033</v>
      </c>
      <c r="AE31" s="72">
        <v>-1216</v>
      </c>
      <c r="AF31" s="72">
        <v>-1483</v>
      </c>
    </row>
    <row r="32" spans="1:33" s="12" customFormat="1" ht="11.4">
      <c r="A32" s="12" t="s">
        <v>75</v>
      </c>
      <c r="B32" s="13" t="s">
        <v>75</v>
      </c>
      <c r="C32" s="75" t="s">
        <v>100</v>
      </c>
      <c r="D32" s="75" t="s">
        <v>100</v>
      </c>
      <c r="E32" s="75" t="s">
        <v>100</v>
      </c>
      <c r="F32" s="75" t="s">
        <v>100</v>
      </c>
      <c r="G32" s="75" t="s">
        <v>100</v>
      </c>
      <c r="H32" s="75" t="s">
        <v>100</v>
      </c>
      <c r="I32" s="75" t="s">
        <v>100</v>
      </c>
      <c r="J32" s="75" t="s">
        <v>100</v>
      </c>
      <c r="K32" s="75" t="s">
        <v>100</v>
      </c>
      <c r="L32" s="75" t="s">
        <v>100</v>
      </c>
      <c r="M32" s="75" t="s">
        <v>100</v>
      </c>
      <c r="N32" s="75" t="s">
        <v>100</v>
      </c>
      <c r="O32" s="75" t="s">
        <v>100</v>
      </c>
      <c r="P32" s="75" t="s">
        <v>100</v>
      </c>
      <c r="Q32" s="75" t="s">
        <v>100</v>
      </c>
      <c r="R32" s="75" t="s">
        <v>100</v>
      </c>
      <c r="S32" s="72">
        <v>-932</v>
      </c>
      <c r="T32" s="72">
        <v>-1240</v>
      </c>
      <c r="U32" s="72">
        <v>-1124</v>
      </c>
      <c r="V32" s="72">
        <v>-1405</v>
      </c>
      <c r="W32" s="72">
        <v>-801</v>
      </c>
      <c r="X32" s="72">
        <v>-730</v>
      </c>
      <c r="Y32" s="72">
        <v>-684</v>
      </c>
      <c r="Z32" s="72">
        <v>-902</v>
      </c>
      <c r="AA32" s="72">
        <v>-400</v>
      </c>
      <c r="AB32" s="72">
        <v>-394</v>
      </c>
      <c r="AC32" s="72">
        <v>-397</v>
      </c>
      <c r="AD32" s="72">
        <v>-827</v>
      </c>
      <c r="AE32" s="72">
        <v>-947</v>
      </c>
      <c r="AF32" s="72">
        <v>-998</v>
      </c>
      <c r="AG32" s="6"/>
    </row>
    <row r="33" spans="1:33" s="6" customFormat="1" ht="11.4">
      <c r="A33" s="6" t="s">
        <v>240</v>
      </c>
      <c r="B33" s="13" t="s">
        <v>69</v>
      </c>
      <c r="C33" s="72">
        <v>-518</v>
      </c>
      <c r="D33" s="72">
        <v>-971</v>
      </c>
      <c r="E33" s="72">
        <v>-625</v>
      </c>
      <c r="F33" s="72">
        <v>-538</v>
      </c>
      <c r="G33" s="72">
        <v>-570</v>
      </c>
      <c r="H33" s="72">
        <v>-818</v>
      </c>
      <c r="I33" s="72">
        <v>-475</v>
      </c>
      <c r="J33" s="72">
        <v>-1092</v>
      </c>
      <c r="K33" s="72">
        <v>-1715</v>
      </c>
      <c r="L33" s="72">
        <v>-2355</v>
      </c>
      <c r="M33" s="72">
        <v>-2475</v>
      </c>
      <c r="N33" s="72">
        <v>-2160</v>
      </c>
      <c r="O33" s="72">
        <v>-2159</v>
      </c>
      <c r="P33" s="72">
        <v>-3386</v>
      </c>
      <c r="Q33" s="72">
        <v>-2794</v>
      </c>
      <c r="R33" s="72">
        <v>-3878</v>
      </c>
      <c r="S33" s="72">
        <v>-3006</v>
      </c>
      <c r="T33" s="72">
        <v>-3104</v>
      </c>
      <c r="U33" s="72">
        <v>-4148</v>
      </c>
      <c r="V33" s="72">
        <v>-1866</v>
      </c>
      <c r="W33" s="72">
        <v>-4022</v>
      </c>
      <c r="X33" s="72">
        <v>-1546</v>
      </c>
      <c r="Y33" s="72">
        <v>-1551</v>
      </c>
      <c r="Z33" s="72">
        <v>396</v>
      </c>
      <c r="AA33" s="72">
        <v>-615</v>
      </c>
      <c r="AB33" s="72">
        <v>-553</v>
      </c>
      <c r="AC33" s="72">
        <v>-520</v>
      </c>
      <c r="AD33" s="72">
        <v>-760</v>
      </c>
      <c r="AE33" s="72">
        <v>-814</v>
      </c>
      <c r="AF33" s="72">
        <v>-1003</v>
      </c>
    </row>
    <row r="34" spans="1:33" s="6" customFormat="1" ht="11.4">
      <c r="A34" s="6" t="s">
        <v>241</v>
      </c>
      <c r="B34" s="13" t="s">
        <v>61</v>
      </c>
      <c r="C34" s="77">
        <v>-98956</v>
      </c>
      <c r="D34" s="77">
        <v>-106947</v>
      </c>
      <c r="E34" s="77">
        <v>-104140</v>
      </c>
      <c r="F34" s="77">
        <v>-98923</v>
      </c>
      <c r="G34" s="77">
        <v>-26061</v>
      </c>
      <c r="H34" s="77">
        <v>-26851</v>
      </c>
      <c r="I34" s="77">
        <v>-32326</v>
      </c>
      <c r="J34" s="77">
        <v>-67824</v>
      </c>
      <c r="K34" s="77">
        <v>-83091</v>
      </c>
      <c r="L34" s="77">
        <v>-55344</v>
      </c>
      <c r="M34" s="77">
        <v>-48143</v>
      </c>
      <c r="N34" s="77">
        <v>-62599</v>
      </c>
      <c r="O34" s="77">
        <v>-71122</v>
      </c>
      <c r="P34" s="77">
        <v>-88492</v>
      </c>
      <c r="Q34" s="77">
        <v>-85868</v>
      </c>
      <c r="R34" s="77">
        <v>-91585</v>
      </c>
      <c r="S34" s="77">
        <v>-89569</v>
      </c>
      <c r="T34" s="77">
        <v>-87538</v>
      </c>
      <c r="U34" s="77">
        <v>-93500</v>
      </c>
      <c r="V34" s="77">
        <v>-92371</v>
      </c>
      <c r="W34" s="77">
        <f>SUM(W35:W36)</f>
        <v>-74284</v>
      </c>
      <c r="X34" s="77">
        <f>SUM(X35:X36)</f>
        <v>-55573</v>
      </c>
      <c r="Y34" s="77">
        <v>-36236</v>
      </c>
      <c r="Z34" s="77">
        <f t="shared" ref="Z34:AE34" si="11">SUM(Z35:Z36)</f>
        <v>-33682</v>
      </c>
      <c r="AA34" s="77">
        <f t="shared" si="11"/>
        <v>-42664</v>
      </c>
      <c r="AB34" s="77">
        <f t="shared" si="11"/>
        <v>-26348</v>
      </c>
      <c r="AC34" s="77">
        <f t="shared" si="11"/>
        <v>-24831</v>
      </c>
      <c r="AD34" s="77">
        <f t="shared" si="11"/>
        <v>-37531</v>
      </c>
      <c r="AE34" s="77">
        <f t="shared" si="11"/>
        <v>-130994</v>
      </c>
      <c r="AF34" s="77">
        <f t="shared" ref="AF34" si="12">SUM(AF35:AF36)</f>
        <v>-255688</v>
      </c>
    </row>
    <row r="35" spans="1:33" s="6" customFormat="1" ht="11.4">
      <c r="A35" s="6" t="s">
        <v>242</v>
      </c>
      <c r="B35" s="13" t="s">
        <v>76</v>
      </c>
      <c r="C35" s="72">
        <v>-10964</v>
      </c>
      <c r="D35" s="72">
        <v>-10306</v>
      </c>
      <c r="E35" s="72">
        <v>-8782</v>
      </c>
      <c r="F35" s="72">
        <v>-7839</v>
      </c>
      <c r="G35" s="72">
        <v>-7621</v>
      </c>
      <c r="H35" s="72">
        <v>-8391</v>
      </c>
      <c r="I35" s="72">
        <v>-11024</v>
      </c>
      <c r="J35" s="72">
        <v>-21366</v>
      </c>
      <c r="K35" s="72">
        <v>-24479</v>
      </c>
      <c r="L35" s="72">
        <v>-26108</v>
      </c>
      <c r="M35" s="72">
        <v>-28681</v>
      </c>
      <c r="N35" s="72">
        <v>-42104</v>
      </c>
      <c r="O35" s="72">
        <v>-45110</v>
      </c>
      <c r="P35" s="80">
        <v>-46479</v>
      </c>
      <c r="Q35" s="80">
        <v>-58092</v>
      </c>
      <c r="R35" s="72">
        <v>-65104</v>
      </c>
      <c r="S35" s="72">
        <v>-66053</v>
      </c>
      <c r="T35" s="72">
        <v>-64506</v>
      </c>
      <c r="U35" s="72">
        <v>-62693</v>
      </c>
      <c r="V35" s="72">
        <v>-64888</v>
      </c>
      <c r="W35" s="72">
        <v>-63836</v>
      </c>
      <c r="X35" s="72">
        <v>-40349</v>
      </c>
      <c r="Y35" s="72">
        <v>-14695</v>
      </c>
      <c r="Z35" s="72">
        <v>-7086</v>
      </c>
      <c r="AA35" s="72">
        <v>-6461</v>
      </c>
      <c r="AB35" s="72">
        <v>-4163</v>
      </c>
      <c r="AC35" s="72">
        <v>-3686</v>
      </c>
      <c r="AD35" s="72">
        <v>-17610</v>
      </c>
      <c r="AE35" s="72">
        <v>-41742</v>
      </c>
      <c r="AF35" s="72">
        <v>-67037</v>
      </c>
    </row>
    <row r="36" spans="1:33" s="6" customFormat="1" ht="11.4">
      <c r="A36" s="6" t="s">
        <v>235</v>
      </c>
      <c r="B36" s="13" t="s">
        <v>79</v>
      </c>
      <c r="C36" s="72">
        <v>-87992</v>
      </c>
      <c r="D36" s="72">
        <v>-96641</v>
      </c>
      <c r="E36" s="72">
        <v>-95358</v>
      </c>
      <c r="F36" s="72">
        <v>-91084</v>
      </c>
      <c r="G36" s="72">
        <v>-18440</v>
      </c>
      <c r="H36" s="72">
        <v>-18460</v>
      </c>
      <c r="I36" s="72">
        <v>-21302</v>
      </c>
      <c r="J36" s="72">
        <v>-46458</v>
      </c>
      <c r="K36" s="72">
        <v>-58612</v>
      </c>
      <c r="L36" s="72">
        <v>-29236</v>
      </c>
      <c r="M36" s="72">
        <v>-19462</v>
      </c>
      <c r="N36" s="72">
        <v>-20495</v>
      </c>
      <c r="O36" s="72">
        <v>-26012</v>
      </c>
      <c r="P36" s="72">
        <v>-42013</v>
      </c>
      <c r="Q36" s="72">
        <v>-27776</v>
      </c>
      <c r="R36" s="72">
        <v>-26481</v>
      </c>
      <c r="S36" s="72">
        <v>-23516</v>
      </c>
      <c r="T36" s="72">
        <v>-23032</v>
      </c>
      <c r="U36" s="72">
        <v>-30807</v>
      </c>
      <c r="V36" s="72">
        <v>-27483</v>
      </c>
      <c r="W36" s="72">
        <v>-10448</v>
      </c>
      <c r="X36" s="72">
        <v>-15224</v>
      </c>
      <c r="Y36" s="72">
        <v>-21541</v>
      </c>
      <c r="Z36" s="72">
        <v>-26596</v>
      </c>
      <c r="AA36" s="72">
        <v>-36203</v>
      </c>
      <c r="AB36" s="72">
        <v>-22185</v>
      </c>
      <c r="AC36" s="72">
        <v>-21145</v>
      </c>
      <c r="AD36" s="72">
        <v>-19921</v>
      </c>
      <c r="AE36" s="72">
        <v>-89252</v>
      </c>
      <c r="AF36" s="72">
        <v>-188651</v>
      </c>
    </row>
    <row r="37" spans="1:33" s="6" customFormat="1" ht="12" thickBot="1">
      <c r="A37" s="6" t="s">
        <v>204</v>
      </c>
      <c r="B37" s="37" t="s">
        <v>2</v>
      </c>
      <c r="C37" s="40">
        <f t="shared" ref="C37:N37" si="13">C3+C26</f>
        <v>344304</v>
      </c>
      <c r="D37" s="40">
        <f t="shared" si="13"/>
        <v>373410</v>
      </c>
      <c r="E37" s="40">
        <f t="shared" si="13"/>
        <v>383724</v>
      </c>
      <c r="F37" s="40">
        <f t="shared" si="13"/>
        <v>399575</v>
      </c>
      <c r="G37" s="40">
        <f t="shared" si="13"/>
        <v>412494</v>
      </c>
      <c r="H37" s="40">
        <f t="shared" si="13"/>
        <v>444173</v>
      </c>
      <c r="I37" s="40">
        <f t="shared" si="13"/>
        <v>490510</v>
      </c>
      <c r="J37" s="40">
        <f t="shared" si="13"/>
        <v>598872</v>
      </c>
      <c r="K37" s="40">
        <f t="shared" si="13"/>
        <v>663013</v>
      </c>
      <c r="L37" s="40">
        <f t="shared" si="13"/>
        <v>722655</v>
      </c>
      <c r="M37" s="40">
        <f t="shared" si="13"/>
        <v>728128</v>
      </c>
      <c r="N37" s="40">
        <f t="shared" si="13"/>
        <v>742345</v>
      </c>
      <c r="O37" s="40">
        <f>O3+O22+O26</f>
        <v>740859</v>
      </c>
      <c r="P37" s="40">
        <f>P3+P22+P26</f>
        <v>766476</v>
      </c>
      <c r="Q37" s="40">
        <f>Q3+Q22+Q26</f>
        <v>785912</v>
      </c>
      <c r="R37" s="40">
        <f t="shared" ref="R37:X37" si="14">R3+R22+R26</f>
        <v>791277</v>
      </c>
      <c r="S37" s="40">
        <f t="shared" si="14"/>
        <v>803807</v>
      </c>
      <c r="T37" s="40">
        <f t="shared" si="14"/>
        <v>829175</v>
      </c>
      <c r="U37" s="40">
        <f t="shared" si="14"/>
        <v>803011</v>
      </c>
      <c r="V37" s="40">
        <f t="shared" si="14"/>
        <v>748351</v>
      </c>
      <c r="W37" s="40">
        <f t="shared" si="14"/>
        <v>776884</v>
      </c>
      <c r="X37" s="40">
        <f t="shared" si="14"/>
        <v>721981</v>
      </c>
      <c r="Y37" s="40">
        <v>683115</v>
      </c>
      <c r="Z37" s="40">
        <f t="shared" ref="Z37:AE37" si="15">Z3+Z22+Z26</f>
        <v>666746</v>
      </c>
      <c r="AA37" s="40">
        <f t="shared" si="15"/>
        <v>670178</v>
      </c>
      <c r="AB37" s="40">
        <f t="shared" si="15"/>
        <v>666659</v>
      </c>
      <c r="AC37" s="40">
        <f t="shared" si="15"/>
        <v>703520</v>
      </c>
      <c r="AD37" s="40">
        <f t="shared" si="15"/>
        <v>757877</v>
      </c>
      <c r="AE37" s="40">
        <f t="shared" si="15"/>
        <v>862351</v>
      </c>
      <c r="AF37" s="40">
        <f t="shared" ref="AF37" si="16">AF3+AF22+AF26</f>
        <v>971761</v>
      </c>
    </row>
    <row r="38" spans="1:33" ht="11.4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"/>
      <c r="W38" s="65"/>
      <c r="AA38" s="17"/>
      <c r="AB38" s="17"/>
      <c r="AC38" s="17"/>
      <c r="AD38" s="17"/>
      <c r="AF38" s="17"/>
      <c r="AG38" s="12"/>
    </row>
    <row r="39" spans="1:33" ht="11.4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X39" s="3"/>
      <c r="Y39" s="3"/>
      <c r="Z39" s="2"/>
      <c r="AA39" s="17"/>
      <c r="AB39" s="17"/>
      <c r="AC39" s="17"/>
      <c r="AD39" s="17"/>
      <c r="AF39" s="17"/>
      <c r="AG39" s="6"/>
    </row>
    <row r="40" spans="1:33" ht="11.4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AA40" s="17"/>
      <c r="AB40" s="17"/>
      <c r="AC40" s="17"/>
      <c r="AD40" s="17"/>
      <c r="AF40" s="17"/>
    </row>
    <row r="41" spans="1:33" ht="11.4">
      <c r="S41" s="1"/>
      <c r="AA41" s="17"/>
      <c r="AB41" s="17"/>
      <c r="AC41" s="17"/>
      <c r="AD41" s="17"/>
      <c r="AF41" s="17"/>
    </row>
    <row r="42" spans="1:33" ht="11.4">
      <c r="S42" s="1"/>
      <c r="AA42" s="17"/>
      <c r="AB42" s="17"/>
      <c r="AC42" s="17"/>
      <c r="AD42" s="17"/>
      <c r="AF42" s="17"/>
    </row>
    <row r="43" spans="1:33" ht="11.4">
      <c r="O43" s="3"/>
      <c r="P43" s="3"/>
      <c r="Q43" s="3"/>
      <c r="R43" s="3"/>
      <c r="S43" s="3"/>
      <c r="T43" s="3"/>
      <c r="AA43" s="17"/>
      <c r="AB43" s="17"/>
      <c r="AC43" s="17"/>
      <c r="AD43" s="17"/>
      <c r="AF43" s="17"/>
    </row>
    <row r="44" spans="1:33" ht="11.4">
      <c r="O44" s="2"/>
      <c r="P44" s="2"/>
      <c r="Q44" s="2"/>
      <c r="R44" s="2"/>
      <c r="S44" s="2"/>
      <c r="T44" s="2"/>
      <c r="AA44" s="17"/>
      <c r="AB44" s="17"/>
      <c r="AC44" s="17"/>
      <c r="AD44" s="17"/>
      <c r="AF44" s="1"/>
    </row>
    <row r="45" spans="1:33" ht="11.4">
      <c r="S45" s="1"/>
      <c r="AA45" s="17"/>
      <c r="AB45" s="17"/>
      <c r="AC45" s="17"/>
      <c r="AD45" s="17"/>
      <c r="AF45" s="1"/>
    </row>
    <row r="46" spans="1:33" ht="11.4">
      <c r="O46" s="3"/>
      <c r="P46" s="3"/>
      <c r="Q46" s="3"/>
      <c r="R46" s="3"/>
      <c r="S46" s="3"/>
      <c r="T46" s="3"/>
      <c r="U46" s="1"/>
      <c r="V46" s="1"/>
      <c r="AA46" s="17"/>
    </row>
    <row r="47" spans="1:33" ht="11.4">
      <c r="O47" s="2"/>
      <c r="P47" s="2"/>
      <c r="Q47" s="2"/>
      <c r="R47" s="2"/>
      <c r="S47" s="2"/>
      <c r="T47" s="2"/>
      <c r="AA47" s="17"/>
    </row>
    <row r="48" spans="1:33" ht="11.4">
      <c r="S48" s="1"/>
      <c r="AA48" s="17"/>
    </row>
    <row r="49" spans="15:27" ht="11.4">
      <c r="O49" s="3"/>
      <c r="P49" s="3"/>
      <c r="Q49" s="3"/>
      <c r="R49" s="3"/>
      <c r="S49" s="3"/>
      <c r="T49" s="3"/>
      <c r="AA49" s="17"/>
    </row>
    <row r="50" spans="15:27" ht="11.4">
      <c r="O50" s="2"/>
      <c r="P50" s="2"/>
      <c r="Q50" s="2"/>
      <c r="R50" s="2"/>
      <c r="S50" s="2"/>
      <c r="T50" s="2"/>
      <c r="AA50" s="17"/>
    </row>
    <row r="51" spans="15:27" ht="11.4">
      <c r="S51" s="1"/>
      <c r="AA51" s="17"/>
    </row>
    <row r="52" spans="15:27" ht="11.4">
      <c r="AA52" s="17"/>
    </row>
    <row r="53" spans="15:27" ht="11.4">
      <c r="AA53" s="17"/>
    </row>
    <row r="54" spans="15:27" ht="11.4">
      <c r="AA54" s="17"/>
    </row>
    <row r="55" spans="15:27" ht="11.4">
      <c r="AA55" s="17"/>
    </row>
    <row r="56" spans="15:27" ht="11.4">
      <c r="AA56" s="17"/>
    </row>
    <row r="57" spans="15:27" ht="11.4">
      <c r="AA57" s="17"/>
    </row>
    <row r="58" spans="15:27" ht="11.4">
      <c r="AA58" s="17"/>
    </row>
    <row r="59" spans="15:27" ht="11.4">
      <c r="AA59" s="17"/>
    </row>
    <row r="60" spans="15:27" ht="11.4">
      <c r="AA60" s="17"/>
    </row>
    <row r="61" spans="15:27" ht="11.4">
      <c r="AA61" s="17"/>
    </row>
    <row r="62" spans="15:27" ht="11.4">
      <c r="AA62" s="17"/>
    </row>
    <row r="63" spans="15:27" ht="11.4">
      <c r="AA63" s="17"/>
    </row>
    <row r="64" spans="15:27" ht="11.4">
      <c r="AA64" s="17"/>
    </row>
    <row r="65" spans="27:27" ht="11.4">
      <c r="AA65" s="17"/>
    </row>
    <row r="66" spans="27:27" ht="11.4">
      <c r="AA66" s="17"/>
    </row>
    <row r="67" spans="27:27" ht="11.4">
      <c r="AA67" s="17"/>
    </row>
    <row r="68" spans="27:27" ht="11.4">
      <c r="AA68" s="17"/>
    </row>
    <row r="69" spans="27:27" ht="11.4">
      <c r="AA69" s="17"/>
    </row>
    <row r="70" spans="27:27" ht="11.4">
      <c r="AA70" s="17"/>
    </row>
    <row r="71" spans="27:27" ht="11.4">
      <c r="AA71" s="17"/>
    </row>
    <row r="72" spans="27:27" ht="11.4">
      <c r="AA72" s="17"/>
    </row>
    <row r="73" spans="27:27" ht="11.4">
      <c r="AA73" s="17"/>
    </row>
    <row r="74" spans="27:27" ht="11.4">
      <c r="AA74" s="17"/>
    </row>
    <row r="75" spans="27:27" ht="11.4">
      <c r="AA75" s="17"/>
    </row>
    <row r="76" spans="27:27" ht="11.4">
      <c r="AA76" s="17"/>
    </row>
    <row r="77" spans="27:27" ht="11.4">
      <c r="AA77" s="17"/>
    </row>
    <row r="78" spans="27:27" ht="11.4">
      <c r="AA78" s="17"/>
    </row>
    <row r="79" spans="27:27" ht="11.4">
      <c r="AA79" s="17"/>
    </row>
    <row r="80" spans="27:27" ht="11.4">
      <c r="AA80" s="17"/>
    </row>
    <row r="81" spans="27:27" ht="11.4">
      <c r="AA81" s="17"/>
    </row>
    <row r="82" spans="27:27" ht="11.4">
      <c r="AA82" s="17"/>
    </row>
    <row r="83" spans="27:27" ht="11.4">
      <c r="AA83" s="17"/>
    </row>
    <row r="84" spans="27:27" ht="11.4">
      <c r="AA84" s="17"/>
    </row>
    <row r="85" spans="27:27" ht="11.4">
      <c r="AA85" s="17"/>
    </row>
    <row r="86" spans="27:27" ht="11.4">
      <c r="AA86" s="17"/>
    </row>
    <row r="87" spans="27:27" ht="11.4">
      <c r="AA87" s="17"/>
    </row>
    <row r="88" spans="27:27" ht="11.4">
      <c r="AA88" s="17"/>
    </row>
    <row r="89" spans="27:27" ht="11.4">
      <c r="AA89" s="17"/>
    </row>
    <row r="90" spans="27:27" ht="11.4">
      <c r="AA90" s="17"/>
    </row>
    <row r="91" spans="27:27" ht="11.4">
      <c r="AA91" s="17"/>
    </row>
    <row r="92" spans="27:27" ht="11.4">
      <c r="AA92" s="17"/>
    </row>
    <row r="93" spans="27:27" ht="11.4">
      <c r="AA93" s="17"/>
    </row>
    <row r="94" spans="27:27" ht="11.4">
      <c r="AA94" s="17"/>
    </row>
    <row r="95" spans="27:27" ht="11.4">
      <c r="AA95" s="17"/>
    </row>
    <row r="96" spans="27:27" ht="11.4">
      <c r="AA96" s="17"/>
    </row>
    <row r="97" spans="27:27" ht="11.4">
      <c r="AA97" s="17"/>
    </row>
    <row r="98" spans="27:27" ht="11.4">
      <c r="AA98" s="17"/>
    </row>
    <row r="99" spans="27:27" ht="11.4">
      <c r="AA99" s="17"/>
    </row>
    <row r="100" spans="27:27" ht="11.4">
      <c r="AA100" s="17"/>
    </row>
    <row r="101" spans="27:27" ht="11.4">
      <c r="AA101" s="17"/>
    </row>
    <row r="102" spans="27:27" ht="11.4">
      <c r="AA102" s="17"/>
    </row>
    <row r="103" spans="27:27" ht="11.4">
      <c r="AA103" s="17"/>
    </row>
    <row r="104" spans="27:27" ht="11.4">
      <c r="AA104" s="17"/>
    </row>
    <row r="105" spans="27:27" ht="11.4">
      <c r="AA105" s="17"/>
    </row>
    <row r="106" spans="27:27" ht="11.4">
      <c r="AA106" s="17"/>
    </row>
    <row r="107" spans="27:27" ht="11.4">
      <c r="AA107" s="17"/>
    </row>
    <row r="108" spans="27:27" ht="11.4">
      <c r="AA108" s="17"/>
    </row>
    <row r="109" spans="27:27" ht="11.4">
      <c r="AA109" s="17"/>
    </row>
    <row r="110" spans="27:27" ht="11.4">
      <c r="AA110" s="17"/>
    </row>
    <row r="111" spans="27:27" ht="11.4">
      <c r="AA111" s="17"/>
    </row>
    <row r="112" spans="27:27" ht="11.4">
      <c r="AA112" s="17"/>
    </row>
    <row r="113" spans="27:27" ht="11.4">
      <c r="AA113" s="17"/>
    </row>
    <row r="114" spans="27:27" ht="11.4">
      <c r="AA114" s="17"/>
    </row>
    <row r="115" spans="27:27" ht="11.4">
      <c r="AA115" s="17"/>
    </row>
    <row r="116" spans="27:27" ht="11.4">
      <c r="AA116" s="17"/>
    </row>
    <row r="117" spans="27:27" ht="11.4">
      <c r="AA117" s="17"/>
    </row>
    <row r="118" spans="27:27" ht="11.4">
      <c r="AA118" s="17"/>
    </row>
    <row r="119" spans="27:27">
      <c r="AA1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K32"/>
  <sheetViews>
    <sheetView topLeftCell="A2" zoomScaleNormal="100" workbookViewId="0">
      <pane xSplit="2" ySplit="2" topLeftCell="Z4" activePane="bottomRight" state="frozen"/>
      <selection activeCell="A2" sqref="A2"/>
      <selection pane="topRight" activeCell="C2" sqref="C2"/>
      <selection pane="bottomLeft" activeCell="A4" sqref="A4"/>
      <selection pane="bottomRight" activeCell="AI20" sqref="AI20"/>
    </sheetView>
  </sheetViews>
  <sheetFormatPr defaultColWidth="9.28515625" defaultRowHeight="11.4"/>
  <cols>
    <col min="1" max="1" width="37" style="6" customWidth="1"/>
    <col min="2" max="2" width="37.28515625" style="6" customWidth="1"/>
    <col min="3" max="26" width="10.28515625" style="6" customWidth="1"/>
    <col min="27" max="36" width="9.28515625" style="6"/>
    <col min="37" max="37" width="11.7109375" style="6" bestFit="1" customWidth="1"/>
    <col min="38" max="16384" width="9.28515625" style="6"/>
  </cols>
  <sheetData>
    <row r="1" spans="1:37" ht="12" thickBot="1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Z1" s="17"/>
    </row>
    <row r="2" spans="1:37" ht="12" thickBot="1">
      <c r="C2" s="111" t="s">
        <v>416</v>
      </c>
      <c r="D2" s="111" t="s">
        <v>417</v>
      </c>
      <c r="E2" s="111" t="s">
        <v>418</v>
      </c>
      <c r="F2" s="111" t="s">
        <v>419</v>
      </c>
      <c r="G2" s="111" t="s">
        <v>420</v>
      </c>
      <c r="H2" s="111" t="s">
        <v>421</v>
      </c>
      <c r="I2" s="111" t="s">
        <v>422</v>
      </c>
      <c r="J2" s="111" t="s">
        <v>423</v>
      </c>
      <c r="K2" s="111" t="s">
        <v>424</v>
      </c>
      <c r="L2" s="111" t="s">
        <v>425</v>
      </c>
      <c r="M2" s="111" t="s">
        <v>426</v>
      </c>
      <c r="N2" s="111" t="s">
        <v>427</v>
      </c>
      <c r="O2" s="111" t="s">
        <v>428</v>
      </c>
      <c r="P2" s="111" t="s">
        <v>429</v>
      </c>
      <c r="Q2" s="111" t="s">
        <v>430</v>
      </c>
      <c r="R2" s="111" t="s">
        <v>431</v>
      </c>
      <c r="S2" s="111" t="s">
        <v>432</v>
      </c>
      <c r="T2" s="111" t="s">
        <v>433</v>
      </c>
      <c r="U2" s="111" t="s">
        <v>434</v>
      </c>
      <c r="V2" s="111" t="s">
        <v>435</v>
      </c>
      <c r="W2" s="111" t="s">
        <v>436</v>
      </c>
      <c r="X2" s="111" t="s">
        <v>437</v>
      </c>
      <c r="Y2" s="111" t="s">
        <v>438</v>
      </c>
      <c r="Z2" s="111" t="s">
        <v>439</v>
      </c>
      <c r="AA2" s="111" t="s">
        <v>440</v>
      </c>
      <c r="AB2" s="111" t="s">
        <v>441</v>
      </c>
      <c r="AC2" s="111" t="s">
        <v>442</v>
      </c>
      <c r="AD2" s="111" t="s">
        <v>472</v>
      </c>
      <c r="AE2" s="111" t="s">
        <v>501</v>
      </c>
      <c r="AF2" s="111" t="s">
        <v>503</v>
      </c>
      <c r="AG2" s="127"/>
      <c r="AH2" s="127"/>
    </row>
    <row r="3" spans="1:37" ht="12" thickBot="1">
      <c r="B3" s="5"/>
      <c r="C3" s="111" t="s">
        <v>443</v>
      </c>
      <c r="D3" s="111" t="s">
        <v>444</v>
      </c>
      <c r="E3" s="111" t="s">
        <v>445</v>
      </c>
      <c r="F3" s="111" t="s">
        <v>446</v>
      </c>
      <c r="G3" s="111" t="s">
        <v>447</v>
      </c>
      <c r="H3" s="111" t="s">
        <v>448</v>
      </c>
      <c r="I3" s="111" t="s">
        <v>449</v>
      </c>
      <c r="J3" s="111" t="s">
        <v>450</v>
      </c>
      <c r="K3" s="111" t="s">
        <v>451</v>
      </c>
      <c r="L3" s="111" t="s">
        <v>452</v>
      </c>
      <c r="M3" s="111" t="s">
        <v>453</v>
      </c>
      <c r="N3" s="111" t="s">
        <v>454</v>
      </c>
      <c r="O3" s="111" t="s">
        <v>455</v>
      </c>
      <c r="P3" s="111" t="s">
        <v>456</v>
      </c>
      <c r="Q3" s="111" t="s">
        <v>457</v>
      </c>
      <c r="R3" s="111" t="s">
        <v>458</v>
      </c>
      <c r="S3" s="111" t="s">
        <v>459</v>
      </c>
      <c r="T3" s="111" t="s">
        <v>460</v>
      </c>
      <c r="U3" s="111" t="s">
        <v>461</v>
      </c>
      <c r="V3" s="111" t="s">
        <v>462</v>
      </c>
      <c r="W3" s="111" t="s">
        <v>463</v>
      </c>
      <c r="X3" s="111" t="s">
        <v>464</v>
      </c>
      <c r="Y3" s="111" t="s">
        <v>465</v>
      </c>
      <c r="Z3" s="111" t="s">
        <v>466</v>
      </c>
      <c r="AA3" s="111" t="s">
        <v>467</v>
      </c>
      <c r="AB3" s="111" t="s">
        <v>468</v>
      </c>
      <c r="AC3" s="111" t="s">
        <v>469</v>
      </c>
      <c r="AD3" s="111" t="s">
        <v>471</v>
      </c>
      <c r="AE3" s="111" t="s">
        <v>502</v>
      </c>
      <c r="AF3" s="111" t="s">
        <v>504</v>
      </c>
      <c r="AK3" s="41"/>
    </row>
    <row r="4" spans="1:37" ht="12" thickBot="1">
      <c r="A4" s="6" t="s">
        <v>205</v>
      </c>
      <c r="B4" s="37" t="s">
        <v>4</v>
      </c>
      <c r="C4" s="40">
        <f t="shared" ref="C4:N4" si="0">SUM(C5:C18)</f>
        <v>135582</v>
      </c>
      <c r="D4" s="40">
        <f t="shared" si="0"/>
        <v>124811</v>
      </c>
      <c r="E4" s="40">
        <f t="shared" si="0"/>
        <v>144977</v>
      </c>
      <c r="F4" s="40">
        <f t="shared" si="0"/>
        <v>140360</v>
      </c>
      <c r="G4" s="40">
        <f t="shared" si="0"/>
        <v>137970</v>
      </c>
      <c r="H4" s="40">
        <f t="shared" si="0"/>
        <v>137134</v>
      </c>
      <c r="I4" s="40">
        <f t="shared" si="0"/>
        <v>135490</v>
      </c>
      <c r="J4" s="40">
        <f t="shared" si="0"/>
        <v>180107</v>
      </c>
      <c r="K4" s="40">
        <f t="shared" si="0"/>
        <v>189088</v>
      </c>
      <c r="L4" s="40">
        <f t="shared" si="0"/>
        <v>203275</v>
      </c>
      <c r="M4" s="40">
        <f t="shared" si="0"/>
        <v>201424</v>
      </c>
      <c r="N4" s="40">
        <f t="shared" si="0"/>
        <v>211816</v>
      </c>
      <c r="O4" s="40">
        <f>SUM(O5:O18)</f>
        <v>264369</v>
      </c>
      <c r="P4" s="40">
        <f t="shared" ref="P4:U4" si="1">SUM(P5:P18)</f>
        <v>265023</v>
      </c>
      <c r="Q4" s="40">
        <f t="shared" si="1"/>
        <v>283467</v>
      </c>
      <c r="R4" s="40">
        <f t="shared" si="1"/>
        <v>286609</v>
      </c>
      <c r="S4" s="40">
        <f t="shared" si="1"/>
        <v>266948</v>
      </c>
      <c r="T4" s="40">
        <f t="shared" si="1"/>
        <v>284261</v>
      </c>
      <c r="U4" s="40">
        <f t="shared" si="1"/>
        <v>302209</v>
      </c>
      <c r="V4" s="40">
        <f>SUM(V5:V18)</f>
        <v>303634</v>
      </c>
      <c r="W4" s="40">
        <f>SUM(W5:W18)</f>
        <v>269347</v>
      </c>
      <c r="X4" s="40">
        <f>SUM(X5:X18)</f>
        <v>294250</v>
      </c>
      <c r="Y4" s="40">
        <v>329428</v>
      </c>
      <c r="Z4" s="40">
        <f t="shared" ref="Z4:AE4" si="2">SUM(Z5:Z18)</f>
        <v>322724</v>
      </c>
      <c r="AA4" s="40">
        <f t="shared" si="2"/>
        <v>316398</v>
      </c>
      <c r="AB4" s="40">
        <f t="shared" si="2"/>
        <v>345200</v>
      </c>
      <c r="AC4" s="40">
        <f t="shared" si="2"/>
        <v>380365</v>
      </c>
      <c r="AD4" s="40">
        <f t="shared" si="2"/>
        <v>399551</v>
      </c>
      <c r="AE4" s="40">
        <f t="shared" si="2"/>
        <v>371419</v>
      </c>
      <c r="AF4" s="40">
        <f t="shared" ref="AF4" si="3">SUM(AF5:AF18)</f>
        <v>432416</v>
      </c>
      <c r="AK4" s="39"/>
    </row>
    <row r="5" spans="1:37">
      <c r="A5" s="6" t="s">
        <v>243</v>
      </c>
      <c r="B5" s="81" t="s">
        <v>80</v>
      </c>
      <c r="C5" s="72">
        <v>20404</v>
      </c>
      <c r="D5" s="72">
        <v>21489</v>
      </c>
      <c r="E5" s="72">
        <v>24079</v>
      </c>
      <c r="F5" s="72">
        <v>23939</v>
      </c>
      <c r="G5" s="72">
        <v>24484</v>
      </c>
      <c r="H5" s="72">
        <v>24671</v>
      </c>
      <c r="I5" s="72">
        <v>23237</v>
      </c>
      <c r="J5" s="72">
        <v>41840</v>
      </c>
      <c r="K5" s="72">
        <v>45504</v>
      </c>
      <c r="L5" s="72">
        <v>53075</v>
      </c>
      <c r="M5" s="72">
        <v>55660</v>
      </c>
      <c r="N5" s="72">
        <v>58363</v>
      </c>
      <c r="O5" s="72">
        <v>56686</v>
      </c>
      <c r="P5" s="72">
        <v>62435</v>
      </c>
      <c r="Q5" s="72">
        <v>65619</v>
      </c>
      <c r="R5" s="72">
        <v>69680</v>
      </c>
      <c r="S5" s="72">
        <v>65133</v>
      </c>
      <c r="T5" s="72">
        <v>79151</v>
      </c>
      <c r="U5" s="72">
        <v>86470</v>
      </c>
      <c r="V5" s="72">
        <v>88899</v>
      </c>
      <c r="W5" s="72">
        <v>85160</v>
      </c>
      <c r="X5" s="72">
        <v>94715</v>
      </c>
      <c r="Y5" s="72">
        <v>110226</v>
      </c>
      <c r="Z5" s="72">
        <v>106753</v>
      </c>
      <c r="AA5" s="72">
        <v>100429</v>
      </c>
      <c r="AB5" s="72">
        <v>122490</v>
      </c>
      <c r="AC5" s="72">
        <v>140005</v>
      </c>
      <c r="AD5" s="72">
        <v>139241</v>
      </c>
      <c r="AE5" s="72">
        <v>133089</v>
      </c>
      <c r="AF5" s="72">
        <v>167863</v>
      </c>
      <c r="AK5" s="39"/>
    </row>
    <row r="6" spans="1:37" ht="22.8">
      <c r="A6" s="6" t="s">
        <v>244</v>
      </c>
      <c r="B6" s="81" t="s">
        <v>81</v>
      </c>
      <c r="C6" s="75" t="s">
        <v>100</v>
      </c>
      <c r="D6" s="75" t="s">
        <v>100</v>
      </c>
      <c r="E6" s="75" t="s">
        <v>100</v>
      </c>
      <c r="F6" s="75" t="s">
        <v>100</v>
      </c>
      <c r="G6" s="75" t="s">
        <v>100</v>
      </c>
      <c r="H6" s="75" t="s">
        <v>100</v>
      </c>
      <c r="I6" s="75" t="s">
        <v>100</v>
      </c>
      <c r="J6" s="75" t="s">
        <v>100</v>
      </c>
      <c r="K6" s="75" t="s">
        <v>100</v>
      </c>
      <c r="L6" s="75" t="s">
        <v>100</v>
      </c>
      <c r="M6" s="75" t="s">
        <v>100</v>
      </c>
      <c r="N6" s="75" t="s">
        <v>100</v>
      </c>
      <c r="O6" s="72">
        <v>67644</v>
      </c>
      <c r="P6" s="72">
        <v>64495</v>
      </c>
      <c r="Q6" s="72">
        <v>71232</v>
      </c>
      <c r="R6" s="72">
        <v>70535</v>
      </c>
      <c r="S6" s="72">
        <v>68435</v>
      </c>
      <c r="T6" s="72">
        <v>75862</v>
      </c>
      <c r="U6" s="72">
        <v>81832</v>
      </c>
      <c r="V6" s="72">
        <v>69959</v>
      </c>
      <c r="W6" s="72">
        <v>48546</v>
      </c>
      <c r="X6" s="72">
        <v>57203</v>
      </c>
      <c r="Y6" s="72">
        <v>69259</v>
      </c>
      <c r="Z6" s="72">
        <v>53497</v>
      </c>
      <c r="AA6" s="72">
        <v>53270</v>
      </c>
      <c r="AB6" s="72">
        <v>54545</v>
      </c>
      <c r="AC6" s="72">
        <v>70756</v>
      </c>
      <c r="AD6" s="72">
        <v>84955</v>
      </c>
      <c r="AE6" s="72">
        <v>66929</v>
      </c>
      <c r="AF6" s="72">
        <v>88089</v>
      </c>
      <c r="AK6" s="39"/>
    </row>
    <row r="7" spans="1:37">
      <c r="A7" s="6" t="s">
        <v>245</v>
      </c>
      <c r="B7" s="81" t="s">
        <v>82</v>
      </c>
      <c r="C7" s="72">
        <v>18796</v>
      </c>
      <c r="D7" s="72">
        <v>21052</v>
      </c>
      <c r="E7" s="72">
        <v>23197</v>
      </c>
      <c r="F7" s="72">
        <v>22288</v>
      </c>
      <c r="G7" s="72">
        <v>25362</v>
      </c>
      <c r="H7" s="72">
        <v>26311</v>
      </c>
      <c r="I7" s="72">
        <v>28152</v>
      </c>
      <c r="J7" s="72">
        <v>31122</v>
      </c>
      <c r="K7" s="72">
        <v>38107</v>
      </c>
      <c r="L7" s="72">
        <v>33946</v>
      </c>
      <c r="M7" s="72">
        <v>32473</v>
      </c>
      <c r="N7" s="72">
        <v>32332</v>
      </c>
      <c r="O7" s="72">
        <v>30218</v>
      </c>
      <c r="P7" s="72">
        <v>27939</v>
      </c>
      <c r="Q7" s="72">
        <v>30320</v>
      </c>
      <c r="R7" s="72">
        <v>30759</v>
      </c>
      <c r="S7" s="72">
        <v>26815</v>
      </c>
      <c r="T7" s="72">
        <v>25930</v>
      </c>
      <c r="U7" s="72">
        <v>24598</v>
      </c>
      <c r="V7" s="72">
        <v>24197</v>
      </c>
      <c r="W7" s="72">
        <v>24217</v>
      </c>
      <c r="X7" s="72">
        <v>25751</v>
      </c>
      <c r="Y7" s="72">
        <v>26211</v>
      </c>
      <c r="Z7" s="72">
        <v>28922</v>
      </c>
      <c r="AA7" s="72">
        <v>26981</v>
      </c>
      <c r="AB7" s="72">
        <v>27717</v>
      </c>
      <c r="AC7" s="72">
        <v>29675</v>
      </c>
      <c r="AD7" s="72">
        <v>30326</v>
      </c>
      <c r="AE7" s="72">
        <v>29271</v>
      </c>
      <c r="AF7" s="72">
        <v>31414</v>
      </c>
      <c r="AK7" s="39"/>
    </row>
    <row r="8" spans="1:37">
      <c r="A8" s="6" t="s">
        <v>246</v>
      </c>
      <c r="B8" s="81" t="s">
        <v>83</v>
      </c>
      <c r="C8" s="72">
        <v>15738</v>
      </c>
      <c r="D8" s="72">
        <v>17413</v>
      </c>
      <c r="E8" s="72">
        <v>19453</v>
      </c>
      <c r="F8" s="72">
        <v>21142</v>
      </c>
      <c r="G8" s="72">
        <v>17457</v>
      </c>
      <c r="H8" s="72">
        <v>12972</v>
      </c>
      <c r="I8" s="72">
        <v>16597</v>
      </c>
      <c r="J8" s="72">
        <v>27379</v>
      </c>
      <c r="K8" s="72">
        <v>22796</v>
      </c>
      <c r="L8" s="72">
        <v>24541</v>
      </c>
      <c r="M8" s="72">
        <v>24925</v>
      </c>
      <c r="N8" s="72">
        <v>23885</v>
      </c>
      <c r="O8" s="72">
        <v>20065</v>
      </c>
      <c r="P8" s="72">
        <v>19268</v>
      </c>
      <c r="Q8" s="72">
        <v>17481</v>
      </c>
      <c r="R8" s="72">
        <v>9344</v>
      </c>
      <c r="S8" s="72">
        <v>7141</v>
      </c>
      <c r="T8" s="72">
        <v>6115</v>
      </c>
      <c r="U8" s="72">
        <v>4695</v>
      </c>
      <c r="V8" s="72">
        <v>5684</v>
      </c>
      <c r="W8" s="72">
        <v>10758</v>
      </c>
      <c r="X8" s="72">
        <v>13351</v>
      </c>
      <c r="Y8" s="72">
        <v>13883</v>
      </c>
      <c r="Z8" s="72">
        <v>17642</v>
      </c>
      <c r="AA8" s="72">
        <v>16160</v>
      </c>
      <c r="AB8" s="72">
        <v>11755</v>
      </c>
      <c r="AC8" s="72">
        <v>12526</v>
      </c>
      <c r="AD8" s="72">
        <v>12560</v>
      </c>
      <c r="AE8" s="72">
        <v>16050</v>
      </c>
      <c r="AF8" s="72">
        <v>14370</v>
      </c>
      <c r="AK8" s="39"/>
    </row>
    <row r="9" spans="1:37" ht="22.8">
      <c r="A9" s="6" t="s">
        <v>247</v>
      </c>
      <c r="B9" s="81" t="s">
        <v>84</v>
      </c>
      <c r="C9" s="72">
        <v>34673</v>
      </c>
      <c r="D9" s="72">
        <v>10328</v>
      </c>
      <c r="E9" s="72">
        <v>25984</v>
      </c>
      <c r="F9" s="72">
        <v>23637</v>
      </c>
      <c r="G9" s="72">
        <v>21338</v>
      </c>
      <c r="H9" s="72">
        <v>28621</v>
      </c>
      <c r="I9" s="72">
        <v>13385</v>
      </c>
      <c r="J9" s="72">
        <v>11945</v>
      </c>
      <c r="K9" s="72">
        <v>17488</v>
      </c>
      <c r="L9" s="72">
        <v>24767</v>
      </c>
      <c r="M9" s="72">
        <v>21266</v>
      </c>
      <c r="N9" s="72">
        <v>24679</v>
      </c>
      <c r="O9" s="72">
        <v>20862</v>
      </c>
      <c r="P9" s="72">
        <v>15326</v>
      </c>
      <c r="Q9" s="72">
        <v>22817</v>
      </c>
      <c r="R9" s="72">
        <v>28630</v>
      </c>
      <c r="S9" s="72">
        <v>23703</v>
      </c>
      <c r="T9" s="72">
        <v>20798</v>
      </c>
      <c r="U9" s="72">
        <v>23587</v>
      </c>
      <c r="V9" s="72">
        <f>25146-1787</f>
        <v>23359</v>
      </c>
      <c r="W9" s="72">
        <v>22480</v>
      </c>
      <c r="X9" s="72">
        <v>24105</v>
      </c>
      <c r="Y9" s="72">
        <v>31298</v>
      </c>
      <c r="Z9" s="72">
        <v>16104</v>
      </c>
      <c r="AA9" s="72">
        <v>25421</v>
      </c>
      <c r="AB9" s="72">
        <v>28589</v>
      </c>
      <c r="AC9" s="72">
        <v>28239</v>
      </c>
      <c r="AD9" s="72">
        <v>25299</v>
      </c>
      <c r="AE9" s="72">
        <v>25292</v>
      </c>
      <c r="AF9" s="72">
        <v>24656</v>
      </c>
      <c r="AK9" s="39"/>
    </row>
    <row r="10" spans="1:37">
      <c r="A10" s="6" t="s">
        <v>248</v>
      </c>
      <c r="B10" s="81" t="s">
        <v>85</v>
      </c>
      <c r="C10" s="72">
        <v>16505</v>
      </c>
      <c r="D10" s="72">
        <v>17868</v>
      </c>
      <c r="E10" s="72">
        <v>17382</v>
      </c>
      <c r="F10" s="72">
        <v>14592</v>
      </c>
      <c r="G10" s="72">
        <v>13637</v>
      </c>
      <c r="H10" s="72">
        <v>14235</v>
      </c>
      <c r="I10" s="72">
        <v>16066</v>
      </c>
      <c r="J10" s="72">
        <v>19789</v>
      </c>
      <c r="K10" s="72">
        <v>20783</v>
      </c>
      <c r="L10" s="72">
        <v>22067</v>
      </c>
      <c r="M10" s="72">
        <v>21005</v>
      </c>
      <c r="N10" s="72">
        <v>25072</v>
      </c>
      <c r="O10" s="72">
        <v>25607</v>
      </c>
      <c r="P10" s="72">
        <v>31063</v>
      </c>
      <c r="Q10" s="72">
        <v>29308</v>
      </c>
      <c r="R10" s="72">
        <v>27925</v>
      </c>
      <c r="S10" s="72">
        <v>26064</v>
      </c>
      <c r="T10" s="72">
        <v>26803</v>
      </c>
      <c r="U10" s="72">
        <v>28331</v>
      </c>
      <c r="V10" s="72">
        <v>38153</v>
      </c>
      <c r="W10" s="72">
        <v>29690</v>
      </c>
      <c r="X10" s="72">
        <v>31547</v>
      </c>
      <c r="Y10" s="72">
        <v>28808</v>
      </c>
      <c r="Z10" s="72">
        <v>41280</v>
      </c>
      <c r="AA10" s="72">
        <v>35434</v>
      </c>
      <c r="AB10" s="72">
        <v>38408</v>
      </c>
      <c r="AC10" s="72">
        <v>37614</v>
      </c>
      <c r="AD10" s="72">
        <v>36890</v>
      </c>
      <c r="AE10" s="72">
        <v>37764</v>
      </c>
      <c r="AF10" s="72">
        <v>40415</v>
      </c>
      <c r="AK10" s="39"/>
    </row>
    <row r="11" spans="1:37">
      <c r="A11" s="6" t="s">
        <v>249</v>
      </c>
      <c r="B11" s="81" t="s">
        <v>86</v>
      </c>
      <c r="C11" s="72">
        <v>8806</v>
      </c>
      <c r="D11" s="72">
        <v>9056</v>
      </c>
      <c r="E11" s="72">
        <v>9067</v>
      </c>
      <c r="F11" s="72">
        <v>9378</v>
      </c>
      <c r="G11" s="72">
        <v>8903</v>
      </c>
      <c r="H11" s="72">
        <v>9375</v>
      </c>
      <c r="I11" s="72">
        <v>9405</v>
      </c>
      <c r="J11" s="72">
        <v>13918</v>
      </c>
      <c r="K11" s="72">
        <v>15716</v>
      </c>
      <c r="L11" s="72">
        <v>16187</v>
      </c>
      <c r="M11" s="72">
        <v>15591</v>
      </c>
      <c r="N11" s="72">
        <v>15891</v>
      </c>
      <c r="O11" s="72">
        <v>15446</v>
      </c>
      <c r="P11" s="72">
        <v>15141</v>
      </c>
      <c r="Q11" s="72">
        <v>14692</v>
      </c>
      <c r="R11" s="72">
        <v>15214</v>
      </c>
      <c r="S11" s="72">
        <v>13259</v>
      </c>
      <c r="T11" s="72">
        <v>13283</v>
      </c>
      <c r="U11" s="72">
        <v>13170</v>
      </c>
      <c r="V11" s="72">
        <v>13311</v>
      </c>
      <c r="W11" s="72">
        <v>11582</v>
      </c>
      <c r="X11" s="72">
        <v>10819</v>
      </c>
      <c r="Y11" s="72">
        <v>12287</v>
      </c>
      <c r="Z11" s="72">
        <v>13998</v>
      </c>
      <c r="AA11" s="72">
        <v>12787</v>
      </c>
      <c r="AB11" s="72">
        <v>13357</v>
      </c>
      <c r="AC11" s="72">
        <v>13437</v>
      </c>
      <c r="AD11" s="72">
        <v>14418</v>
      </c>
      <c r="AE11" s="72">
        <v>13373</v>
      </c>
      <c r="AF11" s="72">
        <v>14086</v>
      </c>
      <c r="AK11" s="39"/>
    </row>
    <row r="12" spans="1:37">
      <c r="A12" s="6" t="s">
        <v>250</v>
      </c>
      <c r="B12" s="81" t="s">
        <v>87</v>
      </c>
      <c r="C12" s="72">
        <v>4908</v>
      </c>
      <c r="D12" s="72">
        <v>5319</v>
      </c>
      <c r="E12" s="72">
        <v>5651</v>
      </c>
      <c r="F12" s="72">
        <v>5526</v>
      </c>
      <c r="G12" s="72">
        <v>5070</v>
      </c>
      <c r="H12" s="72">
        <v>5868</v>
      </c>
      <c r="I12" s="72">
        <v>7266</v>
      </c>
      <c r="J12" s="72">
        <v>9164</v>
      </c>
      <c r="K12" s="72">
        <v>9339</v>
      </c>
      <c r="L12" s="72">
        <v>11965</v>
      </c>
      <c r="M12" s="72">
        <v>12209</v>
      </c>
      <c r="N12" s="72">
        <v>12517</v>
      </c>
      <c r="O12" s="72">
        <v>10313</v>
      </c>
      <c r="P12" s="72">
        <v>10757</v>
      </c>
      <c r="Q12" s="72">
        <v>10717</v>
      </c>
      <c r="R12" s="72">
        <v>10179</v>
      </c>
      <c r="S12" s="72">
        <v>9412</v>
      </c>
      <c r="T12" s="72">
        <v>9853</v>
      </c>
      <c r="U12" s="72">
        <v>9983</v>
      </c>
      <c r="V12" s="72">
        <v>9416</v>
      </c>
      <c r="W12" s="72">
        <v>7581</v>
      </c>
      <c r="X12" s="72">
        <v>7912</v>
      </c>
      <c r="Y12" s="72">
        <v>9187</v>
      </c>
      <c r="Z12" s="72">
        <v>9644</v>
      </c>
      <c r="AA12" s="72">
        <v>8539</v>
      </c>
      <c r="AB12" s="72">
        <v>8992</v>
      </c>
      <c r="AC12" s="72">
        <v>9486</v>
      </c>
      <c r="AD12" s="72">
        <v>9337</v>
      </c>
      <c r="AE12" s="72">
        <v>8011</v>
      </c>
      <c r="AF12" s="72">
        <v>8959</v>
      </c>
      <c r="AK12" s="39"/>
    </row>
    <row r="13" spans="1:37">
      <c r="A13" s="6" t="s">
        <v>251</v>
      </c>
      <c r="B13" s="81" t="s">
        <v>88</v>
      </c>
      <c r="C13" s="72">
        <v>3590</v>
      </c>
      <c r="D13" s="72">
        <v>3842</v>
      </c>
      <c r="E13" s="72">
        <v>3331</v>
      </c>
      <c r="F13" s="72">
        <v>4217</v>
      </c>
      <c r="G13" s="72">
        <v>3635</v>
      </c>
      <c r="H13" s="72">
        <v>3578</v>
      </c>
      <c r="I13" s="72">
        <v>3457</v>
      </c>
      <c r="J13" s="72">
        <v>3591</v>
      </c>
      <c r="K13" s="72">
        <v>2965</v>
      </c>
      <c r="L13" s="72">
        <v>3076</v>
      </c>
      <c r="M13" s="72">
        <v>3839</v>
      </c>
      <c r="N13" s="72">
        <v>3588</v>
      </c>
      <c r="O13" s="72">
        <v>3633</v>
      </c>
      <c r="P13" s="72">
        <v>3542</v>
      </c>
      <c r="Q13" s="72">
        <v>3797</v>
      </c>
      <c r="R13" s="72">
        <v>3550</v>
      </c>
      <c r="S13" s="72">
        <v>3187</v>
      </c>
      <c r="T13" s="72">
        <v>3165</v>
      </c>
      <c r="U13" s="72">
        <v>2834</v>
      </c>
      <c r="V13" s="72">
        <v>2822</v>
      </c>
      <c r="W13" s="72">
        <v>2673</v>
      </c>
      <c r="X13" s="72">
        <v>2660</v>
      </c>
      <c r="Y13" s="72">
        <v>2459</v>
      </c>
      <c r="Z13" s="72">
        <v>2681</v>
      </c>
      <c r="AA13" s="72">
        <v>3079</v>
      </c>
      <c r="AB13" s="72">
        <v>3200</v>
      </c>
      <c r="AC13" s="72">
        <v>3266</v>
      </c>
      <c r="AD13" s="72">
        <v>2946</v>
      </c>
      <c r="AE13" s="72">
        <v>2805</v>
      </c>
      <c r="AF13" s="72">
        <v>3949</v>
      </c>
      <c r="AK13" s="39"/>
    </row>
    <row r="14" spans="1:37">
      <c r="A14" s="6" t="s">
        <v>252</v>
      </c>
      <c r="B14" s="81" t="s">
        <v>67</v>
      </c>
      <c r="C14" s="72">
        <v>2637</v>
      </c>
      <c r="D14" s="72">
        <v>4025</v>
      </c>
      <c r="E14" s="72">
        <v>2697</v>
      </c>
      <c r="F14" s="72">
        <v>2531</v>
      </c>
      <c r="G14" s="72">
        <v>1923</v>
      </c>
      <c r="H14" s="72">
        <v>2145</v>
      </c>
      <c r="I14" s="72">
        <v>1921</v>
      </c>
      <c r="J14" s="72">
        <v>2981</v>
      </c>
      <c r="K14" s="72">
        <v>3911</v>
      </c>
      <c r="L14" s="72">
        <v>3247</v>
      </c>
      <c r="M14" s="72">
        <v>2725</v>
      </c>
      <c r="N14" s="72">
        <v>3964</v>
      </c>
      <c r="O14" s="72">
        <v>2906</v>
      </c>
      <c r="P14" s="72">
        <v>2898</v>
      </c>
      <c r="Q14" s="72">
        <v>2721</v>
      </c>
      <c r="R14" s="72">
        <v>3162</v>
      </c>
      <c r="S14" s="72">
        <v>2612</v>
      </c>
      <c r="T14" s="72">
        <v>2964</v>
      </c>
      <c r="U14" s="72">
        <v>1760</v>
      </c>
      <c r="V14" s="72">
        <v>1705</v>
      </c>
      <c r="W14" s="72">
        <v>1214</v>
      </c>
      <c r="X14" s="72">
        <v>1191</v>
      </c>
      <c r="Y14" s="72">
        <v>1032</v>
      </c>
      <c r="Z14" s="72">
        <v>1080</v>
      </c>
      <c r="AA14" s="72">
        <v>892</v>
      </c>
      <c r="AB14" s="72">
        <v>1003</v>
      </c>
      <c r="AC14" s="72">
        <v>867</v>
      </c>
      <c r="AD14" s="72">
        <v>905</v>
      </c>
      <c r="AE14" s="72">
        <v>911</v>
      </c>
      <c r="AF14" s="72">
        <v>1007</v>
      </c>
      <c r="AK14" s="39"/>
    </row>
    <row r="15" spans="1:37">
      <c r="A15" s="6" t="s">
        <v>253</v>
      </c>
      <c r="B15" s="81" t="s">
        <v>89</v>
      </c>
      <c r="C15" s="75" t="s">
        <v>100</v>
      </c>
      <c r="D15" s="75" t="s">
        <v>100</v>
      </c>
      <c r="E15" s="75" t="s">
        <v>100</v>
      </c>
      <c r="F15" s="75" t="s">
        <v>100</v>
      </c>
      <c r="G15" s="75" t="s">
        <v>100</v>
      </c>
      <c r="H15" s="75" t="s">
        <v>100</v>
      </c>
      <c r="I15" s="75" t="s">
        <v>100</v>
      </c>
      <c r="J15" s="72">
        <v>3761</v>
      </c>
      <c r="K15" s="72">
        <v>1994</v>
      </c>
      <c r="L15" s="72">
        <v>2957</v>
      </c>
      <c r="M15" s="72">
        <v>2664</v>
      </c>
      <c r="N15" s="72">
        <v>3002</v>
      </c>
      <c r="O15" s="72">
        <v>2592</v>
      </c>
      <c r="P15" s="72">
        <v>3141</v>
      </c>
      <c r="Q15" s="72">
        <v>3460</v>
      </c>
      <c r="R15" s="72">
        <v>3612</v>
      </c>
      <c r="S15" s="72">
        <v>2530</v>
      </c>
      <c r="T15" s="72">
        <v>2108</v>
      </c>
      <c r="U15" s="72">
        <v>2101</v>
      </c>
      <c r="V15" s="72">
        <v>2012</v>
      </c>
      <c r="W15" s="72">
        <v>2375</v>
      </c>
      <c r="X15" s="72">
        <v>2350</v>
      </c>
      <c r="Y15" s="72">
        <v>2006</v>
      </c>
      <c r="Z15" s="72">
        <v>2453</v>
      </c>
      <c r="AA15" s="72">
        <v>2386</v>
      </c>
      <c r="AB15" s="72">
        <v>2231</v>
      </c>
      <c r="AC15" s="72">
        <v>1749</v>
      </c>
      <c r="AD15" s="72">
        <v>2291</v>
      </c>
      <c r="AE15" s="72">
        <v>2159</v>
      </c>
      <c r="AF15" s="72">
        <v>2076</v>
      </c>
      <c r="AK15" s="39"/>
    </row>
    <row r="16" spans="1:37">
      <c r="A16" s="6" t="s">
        <v>254</v>
      </c>
      <c r="B16" s="81" t="s">
        <v>90</v>
      </c>
      <c r="C16" s="75" t="s">
        <v>100</v>
      </c>
      <c r="D16" s="75" t="s">
        <v>100</v>
      </c>
      <c r="E16" s="75" t="s">
        <v>100</v>
      </c>
      <c r="F16" s="75" t="s">
        <v>100</v>
      </c>
      <c r="G16" s="75" t="s">
        <v>100</v>
      </c>
      <c r="H16" s="75" t="s">
        <v>100</v>
      </c>
      <c r="I16" s="75" t="s">
        <v>100</v>
      </c>
      <c r="J16" s="75" t="s">
        <v>100</v>
      </c>
      <c r="K16" s="75" t="s">
        <v>100</v>
      </c>
      <c r="L16" s="75" t="s">
        <v>100</v>
      </c>
      <c r="M16" s="75" t="s">
        <v>100</v>
      </c>
      <c r="N16" s="72">
        <v>4618</v>
      </c>
      <c r="O16" s="72">
        <v>1259</v>
      </c>
      <c r="P16" s="72">
        <v>1487</v>
      </c>
      <c r="Q16" s="72">
        <v>1408</v>
      </c>
      <c r="R16" s="72">
        <v>1525</v>
      </c>
      <c r="S16" s="72">
        <v>1469</v>
      </c>
      <c r="T16" s="72">
        <v>1626</v>
      </c>
      <c r="U16" s="72">
        <v>1610</v>
      </c>
      <c r="V16" s="72">
        <v>1617</v>
      </c>
      <c r="W16" s="72">
        <v>1404</v>
      </c>
      <c r="X16" s="72">
        <v>884</v>
      </c>
      <c r="Y16" s="72">
        <v>1163</v>
      </c>
      <c r="Z16" s="72">
        <v>1355</v>
      </c>
      <c r="AA16" s="72">
        <v>1453</v>
      </c>
      <c r="AB16" s="72">
        <v>1532</v>
      </c>
      <c r="AC16" s="72">
        <v>1477</v>
      </c>
      <c r="AD16" s="72">
        <v>1634</v>
      </c>
      <c r="AE16" s="72">
        <v>1555</v>
      </c>
      <c r="AF16" s="72">
        <v>1733</v>
      </c>
      <c r="AK16" s="39"/>
    </row>
    <row r="17" spans="1:37">
      <c r="A17" s="6" t="s">
        <v>255</v>
      </c>
      <c r="B17" s="81" t="s">
        <v>157</v>
      </c>
      <c r="C17" s="75" t="s">
        <v>100</v>
      </c>
      <c r="D17" s="75" t="s">
        <v>100</v>
      </c>
      <c r="E17" s="75" t="s">
        <v>100</v>
      </c>
      <c r="F17" s="75" t="s">
        <v>100</v>
      </c>
      <c r="G17" s="75" t="s">
        <v>100</v>
      </c>
      <c r="H17" s="75" t="s">
        <v>100</v>
      </c>
      <c r="I17" s="75" t="s">
        <v>100</v>
      </c>
      <c r="J17" s="75" t="s">
        <v>100</v>
      </c>
      <c r="K17" s="75" t="s">
        <v>100</v>
      </c>
      <c r="L17" s="75" t="s">
        <v>100</v>
      </c>
      <c r="M17" s="75" t="s">
        <v>100</v>
      </c>
      <c r="N17" s="75" t="s">
        <v>100</v>
      </c>
      <c r="O17" s="72">
        <v>3218</v>
      </c>
      <c r="P17" s="72">
        <v>4473</v>
      </c>
      <c r="Q17" s="72">
        <v>5078</v>
      </c>
      <c r="R17" s="72">
        <v>6271</v>
      </c>
      <c r="S17" s="72">
        <v>10495</v>
      </c>
      <c r="T17" s="72">
        <v>9033</v>
      </c>
      <c r="U17" s="72">
        <v>12015</v>
      </c>
      <c r="V17" s="72">
        <v>13781</v>
      </c>
      <c r="W17" s="72">
        <v>13261</v>
      </c>
      <c r="X17" s="72">
        <v>11052</v>
      </c>
      <c r="Y17" s="72">
        <v>12866</v>
      </c>
      <c r="Z17" s="72">
        <v>15031</v>
      </c>
      <c r="AA17" s="72">
        <v>16864</v>
      </c>
      <c r="AB17" s="72">
        <v>17707</v>
      </c>
      <c r="AC17" s="72">
        <v>18337</v>
      </c>
      <c r="AD17" s="72">
        <v>20419</v>
      </c>
      <c r="AE17" s="72">
        <v>20175</v>
      </c>
      <c r="AF17" s="72">
        <v>19442</v>
      </c>
      <c r="AK17" s="39"/>
    </row>
    <row r="18" spans="1:37">
      <c r="A18" s="6" t="s">
        <v>256</v>
      </c>
      <c r="B18" s="81" t="s">
        <v>91</v>
      </c>
      <c r="C18" s="72">
        <v>9525</v>
      </c>
      <c r="D18" s="72">
        <v>14419</v>
      </c>
      <c r="E18" s="72">
        <v>14136</v>
      </c>
      <c r="F18" s="72">
        <v>13110</v>
      </c>
      <c r="G18" s="72">
        <v>16161</v>
      </c>
      <c r="H18" s="72">
        <v>9358</v>
      </c>
      <c r="I18" s="72">
        <v>16004</v>
      </c>
      <c r="J18" s="72">
        <v>14617</v>
      </c>
      <c r="K18" s="72">
        <v>10485</v>
      </c>
      <c r="L18" s="72">
        <v>7447</v>
      </c>
      <c r="M18" s="72">
        <v>9067</v>
      </c>
      <c r="N18" s="72">
        <v>3905</v>
      </c>
      <c r="O18" s="72">
        <v>3920</v>
      </c>
      <c r="P18" s="72">
        <v>3058</v>
      </c>
      <c r="Q18" s="72">
        <v>4817</v>
      </c>
      <c r="R18" s="72">
        <v>6223</v>
      </c>
      <c r="S18" s="72">
        <v>6693</v>
      </c>
      <c r="T18" s="72">
        <v>7570</v>
      </c>
      <c r="U18" s="72">
        <v>9223</v>
      </c>
      <c r="V18" s="72">
        <v>8719</v>
      </c>
      <c r="W18" s="72">
        <v>8406</v>
      </c>
      <c r="X18" s="72">
        <v>10710</v>
      </c>
      <c r="Y18" s="72">
        <v>8743</v>
      </c>
      <c r="Z18" s="72">
        <v>12284</v>
      </c>
      <c r="AA18" s="72">
        <v>12703</v>
      </c>
      <c r="AB18" s="72">
        <v>13674</v>
      </c>
      <c r="AC18" s="72">
        <v>12931</v>
      </c>
      <c r="AD18" s="72">
        <v>18330</v>
      </c>
      <c r="AE18" s="72">
        <v>14035</v>
      </c>
      <c r="AF18" s="72">
        <v>14357</v>
      </c>
      <c r="AK18" s="39"/>
    </row>
    <row r="19" spans="1:37" ht="12" thickBot="1">
      <c r="A19" s="6" t="s">
        <v>257</v>
      </c>
      <c r="B19" s="37" t="s">
        <v>5</v>
      </c>
      <c r="C19" s="40">
        <f t="shared" ref="C19:N19" si="4">SUM(C20:C29)</f>
        <v>-42799</v>
      </c>
      <c r="D19" s="40">
        <f t="shared" si="4"/>
        <v>-54485</v>
      </c>
      <c r="E19" s="40">
        <f t="shared" si="4"/>
        <v>-55868</v>
      </c>
      <c r="F19" s="40">
        <f t="shared" si="4"/>
        <v>-60910</v>
      </c>
      <c r="G19" s="40">
        <f t="shared" si="4"/>
        <v>-50709</v>
      </c>
      <c r="H19" s="40">
        <f t="shared" si="4"/>
        <v>-60976</v>
      </c>
      <c r="I19" s="40">
        <f t="shared" si="4"/>
        <v>-59329</v>
      </c>
      <c r="J19" s="40">
        <f t="shared" si="4"/>
        <v>-88553</v>
      </c>
      <c r="K19" s="40">
        <f t="shared" si="4"/>
        <v>-78059</v>
      </c>
      <c r="L19" s="40">
        <f t="shared" si="4"/>
        <v>-91077</v>
      </c>
      <c r="M19" s="40">
        <f t="shared" si="4"/>
        <v>-104094</v>
      </c>
      <c r="N19" s="40">
        <f t="shared" si="4"/>
        <v>-101622</v>
      </c>
      <c r="O19" s="40">
        <f>SUM(O20:O29)</f>
        <v>-87495</v>
      </c>
      <c r="P19" s="40">
        <f t="shared" ref="P19:U19" si="5">SUM(P20:P29)</f>
        <v>-94428</v>
      </c>
      <c r="Q19" s="40">
        <f t="shared" si="5"/>
        <v>-104905</v>
      </c>
      <c r="R19" s="40">
        <f t="shared" si="5"/>
        <v>-102641</v>
      </c>
      <c r="S19" s="40">
        <f t="shared" si="5"/>
        <v>-97084</v>
      </c>
      <c r="T19" s="40">
        <f t="shared" si="5"/>
        <v>-127451</v>
      </c>
      <c r="U19" s="40">
        <f t="shared" si="5"/>
        <v>-131965</v>
      </c>
      <c r="V19" s="40">
        <v>-142494</v>
      </c>
      <c r="W19" s="40">
        <f>SUM(W20:W29)</f>
        <v>-134176</v>
      </c>
      <c r="X19" s="40">
        <f>SUM(X20:X29)</f>
        <v>-139666</v>
      </c>
      <c r="Y19" s="40">
        <v>-160326</v>
      </c>
      <c r="Z19" s="40">
        <f t="shared" ref="Z19:AE19" si="6">SUM(Z20:Z29)</f>
        <v>-145735</v>
      </c>
      <c r="AA19" s="40">
        <f t="shared" si="6"/>
        <v>-138688</v>
      </c>
      <c r="AB19" s="40">
        <f t="shared" si="6"/>
        <v>-161822</v>
      </c>
      <c r="AC19" s="40">
        <f t="shared" si="6"/>
        <v>-190777</v>
      </c>
      <c r="AD19" s="40">
        <f t="shared" si="6"/>
        <v>-183479</v>
      </c>
      <c r="AE19" s="40">
        <f t="shared" si="6"/>
        <v>-180742</v>
      </c>
      <c r="AF19" s="40">
        <f t="shared" ref="AF19" si="7">SUM(AF20:AF29)</f>
        <v>-211816</v>
      </c>
      <c r="AK19" s="39"/>
    </row>
    <row r="20" spans="1:37" ht="22.8">
      <c r="A20" s="6" t="s">
        <v>258</v>
      </c>
      <c r="B20" s="81" t="s">
        <v>92</v>
      </c>
      <c r="C20" s="72">
        <v>-13457</v>
      </c>
      <c r="D20" s="72">
        <v>-14618</v>
      </c>
      <c r="E20" s="72">
        <v>-16206</v>
      </c>
      <c r="F20" s="72">
        <v>-16909</v>
      </c>
      <c r="G20" s="72">
        <v>-15056</v>
      </c>
      <c r="H20" s="72">
        <v>-17809</v>
      </c>
      <c r="I20" s="72">
        <v>-17973</v>
      </c>
      <c r="J20" s="72">
        <v>-32772</v>
      </c>
      <c r="K20" s="72">
        <v>-31889</v>
      </c>
      <c r="L20" s="72">
        <v>-31679</v>
      </c>
      <c r="M20" s="72">
        <v>-51575</v>
      </c>
      <c r="N20" s="72">
        <v>-39699</v>
      </c>
      <c r="O20" s="72">
        <v>-43856</v>
      </c>
      <c r="P20" s="72">
        <v>-44371</v>
      </c>
      <c r="Q20" s="72">
        <v>-59775</v>
      </c>
      <c r="R20" s="72">
        <v>-42450</v>
      </c>
      <c r="S20" s="72">
        <v>-50251</v>
      </c>
      <c r="T20" s="72">
        <v>-77721</v>
      </c>
      <c r="U20" s="72">
        <v>-83316</v>
      </c>
      <c r="V20" s="72">
        <v>-74263</v>
      </c>
      <c r="W20" s="72">
        <v>-81459</v>
      </c>
      <c r="X20" s="72">
        <v>-85691</v>
      </c>
      <c r="Y20" s="72">
        <v>-105309</v>
      </c>
      <c r="Z20" s="72">
        <v>-97361</v>
      </c>
      <c r="AA20" s="72">
        <v>-90729</v>
      </c>
      <c r="AB20" s="72">
        <v>-110726</v>
      </c>
      <c r="AC20" s="72">
        <v>-140799</v>
      </c>
      <c r="AD20" s="72">
        <v>-132179</v>
      </c>
      <c r="AE20" s="72">
        <v>-126713</v>
      </c>
      <c r="AF20" s="72">
        <v>-160030</v>
      </c>
      <c r="AK20" s="39"/>
    </row>
    <row r="21" spans="1:37">
      <c r="A21" s="6" t="s">
        <v>259</v>
      </c>
      <c r="B21" s="81" t="s">
        <v>93</v>
      </c>
      <c r="C21" s="72">
        <v>-4811</v>
      </c>
      <c r="D21" s="72">
        <v>-7672</v>
      </c>
      <c r="E21" s="72">
        <v>-7271</v>
      </c>
      <c r="F21" s="72">
        <v>-24106</v>
      </c>
      <c r="G21" s="72">
        <v>-6738</v>
      </c>
      <c r="H21" s="72">
        <v>-9801</v>
      </c>
      <c r="I21" s="72">
        <v>-7899</v>
      </c>
      <c r="J21" s="72">
        <v>-10573</v>
      </c>
      <c r="K21" s="72">
        <v>-7172</v>
      </c>
      <c r="L21" s="72">
        <v>-10898</v>
      </c>
      <c r="M21" s="72">
        <v>-9765</v>
      </c>
      <c r="N21" s="72">
        <v>-12011</v>
      </c>
      <c r="O21" s="72">
        <v>-6536</v>
      </c>
      <c r="P21" s="72">
        <v>-14370</v>
      </c>
      <c r="Q21" s="72">
        <v>-13817</v>
      </c>
      <c r="R21" s="72">
        <v>-18632</v>
      </c>
      <c r="S21" s="72">
        <v>-12719</v>
      </c>
      <c r="T21" s="72">
        <v>-15271</v>
      </c>
      <c r="U21" s="72">
        <v>-16758</v>
      </c>
      <c r="V21" s="72">
        <v>-23515</v>
      </c>
      <c r="W21" s="72">
        <v>-16150</v>
      </c>
      <c r="X21" s="72">
        <v>-19716</v>
      </c>
      <c r="Y21" s="72">
        <v>-15497</v>
      </c>
      <c r="Z21" s="72">
        <v>-13059</v>
      </c>
      <c r="AA21" s="72">
        <v>-14194</v>
      </c>
      <c r="AB21" s="72">
        <v>-15280</v>
      </c>
      <c r="AC21" s="72">
        <v>-15912</v>
      </c>
      <c r="AD21" s="72">
        <v>-15891</v>
      </c>
      <c r="AE21" s="72">
        <v>-15703</v>
      </c>
      <c r="AF21" s="72">
        <v>-15992</v>
      </c>
      <c r="AK21" s="39"/>
    </row>
    <row r="22" spans="1:37">
      <c r="A22" s="6" t="s">
        <v>260</v>
      </c>
      <c r="B22" s="81" t="s">
        <v>94</v>
      </c>
      <c r="C22" s="72">
        <v>-6340</v>
      </c>
      <c r="D22" s="72">
        <v>-8078</v>
      </c>
      <c r="E22" s="72">
        <v>-7461</v>
      </c>
      <c r="F22" s="72">
        <v>-4003</v>
      </c>
      <c r="G22" s="72">
        <v>-7194</v>
      </c>
      <c r="H22" s="72">
        <v>-7107</v>
      </c>
      <c r="I22" s="72">
        <v>-8069</v>
      </c>
      <c r="J22" s="72">
        <v>-3586</v>
      </c>
      <c r="K22" s="72">
        <v>-5075</v>
      </c>
      <c r="L22" s="72">
        <v>-4658</v>
      </c>
      <c r="M22" s="72">
        <v>-5415</v>
      </c>
      <c r="N22" s="72">
        <v>-4250</v>
      </c>
      <c r="O22" s="72">
        <v>-4247</v>
      </c>
      <c r="P22" s="72">
        <v>-4284</v>
      </c>
      <c r="Q22" s="72">
        <v>-3944</v>
      </c>
      <c r="R22" s="72">
        <v>-3992</v>
      </c>
      <c r="S22" s="72">
        <v>-3707</v>
      </c>
      <c r="T22" s="72">
        <v>-3223</v>
      </c>
      <c r="U22" s="72">
        <v>-3726</v>
      </c>
      <c r="V22" s="72">
        <v>-3497</v>
      </c>
      <c r="W22" s="72">
        <v>-3789</v>
      </c>
      <c r="X22" s="72">
        <v>-3643</v>
      </c>
      <c r="Y22" s="72">
        <v>-2895</v>
      </c>
      <c r="Z22" s="72">
        <v>-3157</v>
      </c>
      <c r="AA22" s="72">
        <v>-3270</v>
      </c>
      <c r="AB22" s="72">
        <v>-3146</v>
      </c>
      <c r="AC22" s="72">
        <v>-3551</v>
      </c>
      <c r="AD22" s="72">
        <v>-3562</v>
      </c>
      <c r="AE22" s="72">
        <v>-3529</v>
      </c>
      <c r="AF22" s="72">
        <v>-3339</v>
      </c>
      <c r="AK22" s="39"/>
    </row>
    <row r="23" spans="1:37">
      <c r="A23" s="6" t="s">
        <v>261</v>
      </c>
      <c r="B23" s="81" t="s">
        <v>95</v>
      </c>
      <c r="C23" s="72">
        <v>-3861</v>
      </c>
      <c r="D23" s="72">
        <v>-4381</v>
      </c>
      <c r="E23" s="72">
        <v>-4464</v>
      </c>
      <c r="F23" s="72">
        <v>-4807</v>
      </c>
      <c r="G23" s="72">
        <v>-5143</v>
      </c>
      <c r="H23" s="72">
        <v>-6269</v>
      </c>
      <c r="I23" s="72">
        <v>-6222</v>
      </c>
      <c r="J23" s="72">
        <v>-6557</v>
      </c>
      <c r="K23" s="72">
        <v>-6737</v>
      </c>
      <c r="L23" s="72">
        <v>-4880</v>
      </c>
      <c r="M23" s="72">
        <v>-3613</v>
      </c>
      <c r="N23" s="72">
        <v>-4158</v>
      </c>
      <c r="O23" s="72">
        <v>-3302</v>
      </c>
      <c r="P23" s="72">
        <v>-3928</v>
      </c>
      <c r="Q23" s="72">
        <v>-3981</v>
      </c>
      <c r="R23" s="72">
        <v>-4470</v>
      </c>
      <c r="S23" s="72">
        <v>-3936</v>
      </c>
      <c r="T23" s="72">
        <v>-4160</v>
      </c>
      <c r="U23" s="72">
        <v>-4053</v>
      </c>
      <c r="V23" s="72">
        <v>-4153</v>
      </c>
      <c r="W23" s="72">
        <v>-4748</v>
      </c>
      <c r="X23" s="72">
        <v>-3845</v>
      </c>
      <c r="Y23" s="72">
        <v>-4030</v>
      </c>
      <c r="Z23" s="72">
        <v>-4198</v>
      </c>
      <c r="AA23" s="72">
        <v>-4012</v>
      </c>
      <c r="AB23" s="72">
        <v>-3855</v>
      </c>
      <c r="AC23" s="72">
        <v>-3920</v>
      </c>
      <c r="AD23" s="72">
        <v>-3857</v>
      </c>
      <c r="AE23" s="72">
        <v>-4289</v>
      </c>
      <c r="AF23" s="72">
        <v>-4374</v>
      </c>
      <c r="AK23" s="39"/>
    </row>
    <row r="24" spans="1:37">
      <c r="A24" s="6" t="s">
        <v>262</v>
      </c>
      <c r="B24" s="81" t="s">
        <v>96</v>
      </c>
      <c r="C24" s="72">
        <v>-5136</v>
      </c>
      <c r="D24" s="72">
        <v>-6182</v>
      </c>
      <c r="E24" s="72">
        <v>-6350</v>
      </c>
      <c r="F24" s="72">
        <v>-6588</v>
      </c>
      <c r="G24" s="72">
        <v>-5259</v>
      </c>
      <c r="H24" s="72">
        <v>-5092</v>
      </c>
      <c r="I24" s="72">
        <v>-5451</v>
      </c>
      <c r="J24" s="72">
        <v>-6534</v>
      </c>
      <c r="K24" s="72">
        <v>-5135</v>
      </c>
      <c r="L24" s="72">
        <v>-6118</v>
      </c>
      <c r="M24" s="72">
        <v>-7301</v>
      </c>
      <c r="N24" s="72">
        <v>-9762</v>
      </c>
      <c r="O24" s="72">
        <v>-6671</v>
      </c>
      <c r="P24" s="72">
        <v>-5724</v>
      </c>
      <c r="Q24" s="72">
        <v>-7158</v>
      </c>
      <c r="R24" s="72">
        <v>-6301</v>
      </c>
      <c r="S24" s="72">
        <v>-5521</v>
      </c>
      <c r="T24" s="72">
        <v>-5841</v>
      </c>
      <c r="U24" s="72">
        <v>-6649</v>
      </c>
      <c r="V24" s="72">
        <v>-5641</v>
      </c>
      <c r="W24" s="72">
        <v>-5994</v>
      </c>
      <c r="X24" s="72">
        <v>-4740</v>
      </c>
      <c r="Y24" s="72">
        <v>-7578</v>
      </c>
      <c r="Z24" s="72">
        <v>-4837</v>
      </c>
      <c r="AA24" s="72">
        <v>-3767</v>
      </c>
      <c r="AB24" s="72">
        <v>-7657</v>
      </c>
      <c r="AC24" s="72">
        <v>-6442</v>
      </c>
      <c r="AD24" s="72">
        <v>-5986</v>
      </c>
      <c r="AE24" s="72">
        <v>-5687</v>
      </c>
      <c r="AF24" s="72">
        <v>-6901</v>
      </c>
      <c r="AK24" s="39"/>
    </row>
    <row r="25" spans="1:37" ht="22.8">
      <c r="A25" s="6" t="s">
        <v>263</v>
      </c>
      <c r="B25" s="81" t="s">
        <v>97</v>
      </c>
      <c r="C25" s="72">
        <v>-2013</v>
      </c>
      <c r="D25" s="72">
        <v>-2739</v>
      </c>
      <c r="E25" s="72">
        <v>-2701</v>
      </c>
      <c r="F25" s="72">
        <v>-2057</v>
      </c>
      <c r="G25" s="72">
        <v>-2259</v>
      </c>
      <c r="H25" s="72">
        <v>-2953</v>
      </c>
      <c r="I25" s="72">
        <v>-2216</v>
      </c>
      <c r="J25" s="72">
        <v>-4684</v>
      </c>
      <c r="K25" s="72">
        <v>-4382</v>
      </c>
      <c r="L25" s="72">
        <v>-10840</v>
      </c>
      <c r="M25" s="72">
        <v>-7893</v>
      </c>
      <c r="N25" s="72">
        <v>-8354</v>
      </c>
      <c r="O25" s="72">
        <v>-7719</v>
      </c>
      <c r="P25" s="72">
        <v>-5913</v>
      </c>
      <c r="Q25" s="72">
        <v>-6573</v>
      </c>
      <c r="R25" s="72">
        <v>-8792</v>
      </c>
      <c r="S25" s="72">
        <v>-7156</v>
      </c>
      <c r="T25" s="72">
        <v>-5782</v>
      </c>
      <c r="U25" s="72">
        <v>-5900</v>
      </c>
      <c r="V25" s="72">
        <v>-6734</v>
      </c>
      <c r="W25" s="72">
        <v>-6324</v>
      </c>
      <c r="X25" s="72">
        <v>-6435</v>
      </c>
      <c r="Y25" s="72">
        <v>-6554</v>
      </c>
      <c r="Z25" s="72">
        <v>-5655</v>
      </c>
      <c r="AA25" s="72">
        <v>-4948</v>
      </c>
      <c r="AB25" s="72">
        <v>-7127</v>
      </c>
      <c r="AC25" s="72">
        <v>-5189</v>
      </c>
      <c r="AD25" s="72">
        <v>-6723</v>
      </c>
      <c r="AE25" s="72">
        <v>-8494</v>
      </c>
      <c r="AF25" s="72">
        <v>-4468</v>
      </c>
      <c r="AK25" s="39"/>
    </row>
    <row r="26" spans="1:37">
      <c r="A26" s="6" t="s">
        <v>246</v>
      </c>
      <c r="B26" s="81" t="s">
        <v>83</v>
      </c>
      <c r="C26" s="72">
        <v>-837</v>
      </c>
      <c r="D26" s="72">
        <v>-1005</v>
      </c>
      <c r="E26" s="72">
        <v>-1077</v>
      </c>
      <c r="F26" s="72">
        <v>-969</v>
      </c>
      <c r="G26" s="72">
        <v>-688</v>
      </c>
      <c r="H26" s="72">
        <v>-824</v>
      </c>
      <c r="I26" s="72">
        <v>-1162</v>
      </c>
      <c r="J26" s="72">
        <v>-1025</v>
      </c>
      <c r="K26" s="72">
        <v>-983</v>
      </c>
      <c r="L26" s="72">
        <v>-1503</v>
      </c>
      <c r="M26" s="72">
        <v>-1264</v>
      </c>
      <c r="N26" s="72">
        <v>-1288</v>
      </c>
      <c r="O26" s="72">
        <v>-879</v>
      </c>
      <c r="P26" s="72">
        <v>-1103</v>
      </c>
      <c r="Q26" s="72">
        <v>-878</v>
      </c>
      <c r="R26" s="72">
        <v>-842</v>
      </c>
      <c r="S26" s="72">
        <v>-670</v>
      </c>
      <c r="T26" s="72">
        <v>-902</v>
      </c>
      <c r="U26" s="72">
        <v>-741</v>
      </c>
      <c r="V26" s="72">
        <v>-789</v>
      </c>
      <c r="W26" s="72">
        <v>-945</v>
      </c>
      <c r="X26" s="72">
        <v>-1627</v>
      </c>
      <c r="Y26" s="72">
        <v>-1693</v>
      </c>
      <c r="Z26" s="72">
        <v>-2138</v>
      </c>
      <c r="AA26" s="72">
        <v>-1980</v>
      </c>
      <c r="AB26" s="72">
        <v>-1561</v>
      </c>
      <c r="AC26" s="72">
        <v>-1188</v>
      </c>
      <c r="AD26" s="72">
        <v>-1628</v>
      </c>
      <c r="AE26" s="72">
        <v>-1509</v>
      </c>
      <c r="AF26" s="72">
        <v>-1887</v>
      </c>
      <c r="AK26" s="39"/>
    </row>
    <row r="27" spans="1:37">
      <c r="A27" s="6" t="s">
        <v>253</v>
      </c>
      <c r="B27" s="81" t="s">
        <v>89</v>
      </c>
      <c r="C27" s="75" t="s">
        <v>100</v>
      </c>
      <c r="D27" s="75" t="s">
        <v>100</v>
      </c>
      <c r="E27" s="75" t="s">
        <v>100</v>
      </c>
      <c r="F27" s="75" t="s">
        <v>100</v>
      </c>
      <c r="G27" s="75" t="s">
        <v>100</v>
      </c>
      <c r="H27" s="75" t="s">
        <v>100</v>
      </c>
      <c r="I27" s="75" t="s">
        <v>100</v>
      </c>
      <c r="J27" s="72">
        <v>-847</v>
      </c>
      <c r="K27" s="72">
        <v>-478</v>
      </c>
      <c r="L27" s="72">
        <v>-876</v>
      </c>
      <c r="M27" s="72">
        <v>-545</v>
      </c>
      <c r="N27" s="72">
        <v>-1259</v>
      </c>
      <c r="O27" s="72">
        <v>-385</v>
      </c>
      <c r="P27" s="72">
        <v>-673</v>
      </c>
      <c r="Q27" s="72">
        <v>-847</v>
      </c>
      <c r="R27" s="72">
        <v>-1264</v>
      </c>
      <c r="S27" s="72">
        <v>-369</v>
      </c>
      <c r="T27" s="72">
        <v>-586</v>
      </c>
      <c r="U27" s="72">
        <v>-506</v>
      </c>
      <c r="V27" s="72">
        <v>-774</v>
      </c>
      <c r="W27" s="72">
        <v>-25</v>
      </c>
      <c r="X27" s="72">
        <v>-41</v>
      </c>
      <c r="Y27" s="72">
        <v>-70</v>
      </c>
      <c r="Z27" s="72">
        <v>-21</v>
      </c>
      <c r="AA27" s="72">
        <v>-45</v>
      </c>
      <c r="AB27" s="72">
        <v>-2109</v>
      </c>
      <c r="AC27" s="72">
        <v>-811</v>
      </c>
      <c r="AD27" s="72">
        <v>-947</v>
      </c>
      <c r="AE27" s="72">
        <v>-735</v>
      </c>
      <c r="AF27" s="72">
        <v>-714</v>
      </c>
      <c r="AK27" s="39"/>
    </row>
    <row r="28" spans="1:37">
      <c r="A28" s="6" t="s">
        <v>264</v>
      </c>
      <c r="B28" s="81" t="s">
        <v>98</v>
      </c>
      <c r="C28" s="75" t="s">
        <v>100</v>
      </c>
      <c r="D28" s="75" t="s">
        <v>100</v>
      </c>
      <c r="E28" s="75" t="s">
        <v>100</v>
      </c>
      <c r="F28" s="75" t="s">
        <v>100</v>
      </c>
      <c r="G28" s="75" t="s">
        <v>100</v>
      </c>
      <c r="H28" s="75" t="s">
        <v>100</v>
      </c>
      <c r="I28" s="75" t="s">
        <v>100</v>
      </c>
      <c r="J28" s="75" t="s">
        <v>100</v>
      </c>
      <c r="K28" s="75" t="s">
        <v>100</v>
      </c>
      <c r="L28" s="75" t="s">
        <v>100</v>
      </c>
      <c r="M28" s="75" t="s">
        <v>100</v>
      </c>
      <c r="N28" s="72">
        <v>-18189</v>
      </c>
      <c r="O28" s="72">
        <v>-3863</v>
      </c>
      <c r="P28" s="72">
        <v>-4772</v>
      </c>
      <c r="Q28" s="72">
        <v>-1255</v>
      </c>
      <c r="R28" s="72">
        <v>-5454</v>
      </c>
      <c r="S28" s="72">
        <v>-4416</v>
      </c>
      <c r="T28" s="72">
        <v>-4932</v>
      </c>
      <c r="U28" s="72">
        <v>162</v>
      </c>
      <c r="V28" s="72">
        <v>-8981</v>
      </c>
      <c r="W28" s="72">
        <v>-5416</v>
      </c>
      <c r="X28" s="72">
        <v>-2785</v>
      </c>
      <c r="Y28" s="72">
        <v>-4600</v>
      </c>
      <c r="Z28" s="72">
        <v>-4533</v>
      </c>
      <c r="AA28" s="72">
        <v>-5303</v>
      </c>
      <c r="AB28" s="72">
        <v>-4503</v>
      </c>
      <c r="AC28" s="72">
        <v>-4870</v>
      </c>
      <c r="AD28" s="72">
        <v>-5247</v>
      </c>
      <c r="AE28" s="72">
        <v>-5999</v>
      </c>
      <c r="AF28" s="72">
        <v>-5802</v>
      </c>
      <c r="AK28" s="39"/>
    </row>
    <row r="29" spans="1:37">
      <c r="A29" s="6" t="s">
        <v>256</v>
      </c>
      <c r="B29" s="81" t="s">
        <v>91</v>
      </c>
      <c r="C29" s="72">
        <v>-6344</v>
      </c>
      <c r="D29" s="72">
        <v>-9810</v>
      </c>
      <c r="E29" s="72">
        <v>-10338</v>
      </c>
      <c r="F29" s="72">
        <v>-1471</v>
      </c>
      <c r="G29" s="72">
        <v>-8372</v>
      </c>
      <c r="H29" s="72">
        <v>-11121</v>
      </c>
      <c r="I29" s="72">
        <v>-10337</v>
      </c>
      <c r="J29" s="72">
        <v>-21975</v>
      </c>
      <c r="K29" s="72">
        <v>-16208</v>
      </c>
      <c r="L29" s="72">
        <v>-19625</v>
      </c>
      <c r="M29" s="72">
        <v>-16723</v>
      </c>
      <c r="N29" s="72">
        <v>-2652</v>
      </c>
      <c r="O29" s="72">
        <v>-10037</v>
      </c>
      <c r="P29" s="72">
        <v>-9290</v>
      </c>
      <c r="Q29" s="72">
        <v>-6677</v>
      </c>
      <c r="R29" s="72">
        <v>-10444</v>
      </c>
      <c r="S29" s="72">
        <v>-8339</v>
      </c>
      <c r="T29" s="72">
        <v>-9033</v>
      </c>
      <c r="U29" s="72">
        <v>-10478</v>
      </c>
      <c r="V29" s="72">
        <v>-14147</v>
      </c>
      <c r="W29" s="72">
        <v>-9326</v>
      </c>
      <c r="X29" s="72">
        <v>-11143</v>
      </c>
      <c r="Y29" s="72">
        <v>-12100</v>
      </c>
      <c r="Z29" s="72">
        <v>-10776</v>
      </c>
      <c r="AA29" s="72">
        <v>-10440</v>
      </c>
      <c r="AB29" s="72">
        <v>-5858</v>
      </c>
      <c r="AC29" s="72">
        <v>-8095</v>
      </c>
      <c r="AD29" s="72">
        <v>-7459</v>
      </c>
      <c r="AE29" s="72">
        <v>-8084</v>
      </c>
      <c r="AF29" s="72">
        <v>-8309</v>
      </c>
      <c r="AK29" s="39"/>
    </row>
    <row r="30" spans="1:37" ht="12" thickBot="1">
      <c r="A30" s="6" t="s">
        <v>265</v>
      </c>
      <c r="B30" s="37" t="s">
        <v>99</v>
      </c>
      <c r="C30" s="40">
        <f t="shared" ref="C30:N30" si="8">C4+C19</f>
        <v>92783</v>
      </c>
      <c r="D30" s="40">
        <f t="shared" si="8"/>
        <v>70326</v>
      </c>
      <c r="E30" s="40">
        <f t="shared" si="8"/>
        <v>89109</v>
      </c>
      <c r="F30" s="40">
        <f t="shared" si="8"/>
        <v>79450</v>
      </c>
      <c r="G30" s="40">
        <f t="shared" si="8"/>
        <v>87261</v>
      </c>
      <c r="H30" s="40">
        <f t="shared" si="8"/>
        <v>76158</v>
      </c>
      <c r="I30" s="40">
        <f t="shared" si="8"/>
        <v>76161</v>
      </c>
      <c r="J30" s="40">
        <f t="shared" si="8"/>
        <v>91554</v>
      </c>
      <c r="K30" s="40">
        <f t="shared" si="8"/>
        <v>111029</v>
      </c>
      <c r="L30" s="40">
        <f t="shared" si="8"/>
        <v>112198</v>
      </c>
      <c r="M30" s="40">
        <f t="shared" si="8"/>
        <v>97330</v>
      </c>
      <c r="N30" s="40">
        <f t="shared" si="8"/>
        <v>110194</v>
      </c>
      <c r="O30" s="40">
        <f t="shared" ref="O30:X30" si="9">O4+O19</f>
        <v>176874</v>
      </c>
      <c r="P30" s="40">
        <f t="shared" si="9"/>
        <v>170595</v>
      </c>
      <c r="Q30" s="40">
        <f t="shared" si="9"/>
        <v>178562</v>
      </c>
      <c r="R30" s="40">
        <f t="shared" si="9"/>
        <v>183968</v>
      </c>
      <c r="S30" s="40">
        <f t="shared" si="9"/>
        <v>169864</v>
      </c>
      <c r="T30" s="40">
        <f t="shared" si="9"/>
        <v>156810</v>
      </c>
      <c r="U30" s="40">
        <f t="shared" si="9"/>
        <v>170244</v>
      </c>
      <c r="V30" s="40">
        <f t="shared" si="9"/>
        <v>161140</v>
      </c>
      <c r="W30" s="40">
        <f t="shared" si="9"/>
        <v>135171</v>
      </c>
      <c r="X30" s="40">
        <f t="shared" si="9"/>
        <v>154584</v>
      </c>
      <c r="Y30" s="40">
        <v>169102</v>
      </c>
      <c r="Z30" s="40">
        <f t="shared" ref="Z30:AE30" si="10">Z4+Z19</f>
        <v>176989</v>
      </c>
      <c r="AA30" s="40">
        <f t="shared" si="10"/>
        <v>177710</v>
      </c>
      <c r="AB30" s="40">
        <f t="shared" si="10"/>
        <v>183378</v>
      </c>
      <c r="AC30" s="40">
        <f t="shared" si="10"/>
        <v>189588</v>
      </c>
      <c r="AD30" s="40">
        <f t="shared" si="10"/>
        <v>216072</v>
      </c>
      <c r="AE30" s="40">
        <f t="shared" si="10"/>
        <v>190677</v>
      </c>
      <c r="AF30" s="40">
        <f t="shared" ref="AF30" si="11">AF4+AF19</f>
        <v>220600</v>
      </c>
      <c r="AK30" s="39"/>
    </row>
    <row r="31" spans="1:37">
      <c r="X31" s="17"/>
      <c r="AA31" s="17"/>
      <c r="AB31" s="17"/>
      <c r="AC31" s="17"/>
      <c r="AD31" s="17"/>
    </row>
    <row r="32" spans="1:37">
      <c r="AC32" s="17"/>
      <c r="AD32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G41"/>
  <sheetViews>
    <sheetView zoomScaleNormal="100" zoomScaleSheetLayoutView="90" workbookViewId="0">
      <pane xSplit="2" ySplit="2" topLeftCell="N3" activePane="bottomRight" state="frozen"/>
      <selection pane="topRight" activeCell="C1" sqref="C1"/>
      <selection pane="bottomLeft" activeCell="A4" sqref="A4"/>
      <selection pane="bottomRight" activeCell="A17" sqref="A17"/>
    </sheetView>
  </sheetViews>
  <sheetFormatPr defaultRowHeight="10.199999999999999"/>
  <cols>
    <col min="1" max="1" width="43.42578125" style="4" customWidth="1"/>
    <col min="2" max="2" width="45.85546875" bestFit="1" customWidth="1"/>
    <col min="3" max="20" width="8.7109375" bestFit="1" customWidth="1"/>
    <col min="21" max="21" width="8.7109375" style="1" bestFit="1" customWidth="1"/>
    <col min="22" max="26" width="8.7109375" bestFit="1" customWidth="1"/>
    <col min="27" max="32" width="8.85546875" bestFit="1" customWidth="1"/>
  </cols>
  <sheetData>
    <row r="1" spans="1:33" ht="10.8" thickBot="1">
      <c r="C1" s="111" t="s">
        <v>416</v>
      </c>
      <c r="D1" s="111" t="s">
        <v>417</v>
      </c>
      <c r="E1" s="111" t="s">
        <v>418</v>
      </c>
      <c r="F1" s="111" t="s">
        <v>419</v>
      </c>
      <c r="G1" s="111" t="s">
        <v>420</v>
      </c>
      <c r="H1" s="111" t="s">
        <v>421</v>
      </c>
      <c r="I1" s="111" t="s">
        <v>422</v>
      </c>
      <c r="J1" s="111" t="s">
        <v>423</v>
      </c>
      <c r="K1" s="111" t="s">
        <v>424</v>
      </c>
      <c r="L1" s="111" t="s">
        <v>425</v>
      </c>
      <c r="M1" s="111" t="s">
        <v>426</v>
      </c>
      <c r="N1" s="111" t="s">
        <v>427</v>
      </c>
      <c r="O1" s="111" t="s">
        <v>428</v>
      </c>
      <c r="P1" s="111" t="s">
        <v>429</v>
      </c>
      <c r="Q1" s="111" t="s">
        <v>430</v>
      </c>
      <c r="R1" s="111" t="s">
        <v>431</v>
      </c>
      <c r="S1" s="111" t="s">
        <v>432</v>
      </c>
      <c r="T1" s="111" t="s">
        <v>433</v>
      </c>
      <c r="U1" s="111" t="s">
        <v>434</v>
      </c>
      <c r="V1" s="111" t="s">
        <v>435</v>
      </c>
      <c r="W1" s="111" t="s">
        <v>436</v>
      </c>
      <c r="X1" s="111" t="s">
        <v>437</v>
      </c>
      <c r="Y1" s="111" t="s">
        <v>438</v>
      </c>
      <c r="Z1" s="111" t="s">
        <v>439</v>
      </c>
      <c r="AA1" s="111" t="s">
        <v>440</v>
      </c>
      <c r="AB1" s="111" t="s">
        <v>441</v>
      </c>
      <c r="AC1" s="111" t="s">
        <v>442</v>
      </c>
      <c r="AD1" s="111" t="s">
        <v>472</v>
      </c>
      <c r="AE1" s="111" t="s">
        <v>501</v>
      </c>
      <c r="AF1" s="111" t="s">
        <v>503</v>
      </c>
    </row>
    <row r="2" spans="1:33" s="6" customFormat="1" ht="12" thickBot="1">
      <c r="B2" s="5"/>
      <c r="C2" s="111" t="s">
        <v>443</v>
      </c>
      <c r="D2" s="111" t="s">
        <v>444</v>
      </c>
      <c r="E2" s="111" t="s">
        <v>445</v>
      </c>
      <c r="F2" s="111" t="s">
        <v>446</v>
      </c>
      <c r="G2" s="111" t="s">
        <v>447</v>
      </c>
      <c r="H2" s="111" t="s">
        <v>448</v>
      </c>
      <c r="I2" s="111" t="s">
        <v>449</v>
      </c>
      <c r="J2" s="111" t="s">
        <v>450</v>
      </c>
      <c r="K2" s="111" t="s">
        <v>451</v>
      </c>
      <c r="L2" s="111" t="s">
        <v>452</v>
      </c>
      <c r="M2" s="111" t="s">
        <v>453</v>
      </c>
      <c r="N2" s="111" t="s">
        <v>454</v>
      </c>
      <c r="O2" s="111" t="s">
        <v>455</v>
      </c>
      <c r="P2" s="111" t="s">
        <v>456</v>
      </c>
      <c r="Q2" s="111" t="s">
        <v>457</v>
      </c>
      <c r="R2" s="111" t="s">
        <v>458</v>
      </c>
      <c r="S2" s="111" t="s">
        <v>459</v>
      </c>
      <c r="T2" s="111" t="s">
        <v>460</v>
      </c>
      <c r="U2" s="111" t="s">
        <v>461</v>
      </c>
      <c r="V2" s="111" t="s">
        <v>462</v>
      </c>
      <c r="W2" s="111" t="s">
        <v>463</v>
      </c>
      <c r="X2" s="111" t="s">
        <v>464</v>
      </c>
      <c r="Y2" s="111" t="s">
        <v>465</v>
      </c>
      <c r="Z2" s="111" t="s">
        <v>466</v>
      </c>
      <c r="AA2" s="111" t="s">
        <v>467</v>
      </c>
      <c r="AB2" s="111" t="s">
        <v>468</v>
      </c>
      <c r="AC2" s="111" t="s">
        <v>469</v>
      </c>
      <c r="AD2" s="111" t="s">
        <v>471</v>
      </c>
      <c r="AE2" s="111" t="s">
        <v>502</v>
      </c>
      <c r="AF2" s="111" t="s">
        <v>504</v>
      </c>
      <c r="AG2" s="127"/>
    </row>
    <row r="3" spans="1:33" s="6" customFormat="1" ht="11.4">
      <c r="A3" s="6" t="s">
        <v>280</v>
      </c>
      <c r="B3" s="54" t="s">
        <v>116</v>
      </c>
      <c r="C3" s="55">
        <f t="shared" ref="C3:S3" si="0">SUM(C4:C11)</f>
        <v>-146137</v>
      </c>
      <c r="D3" s="55">
        <f t="shared" si="0"/>
        <v>-132392</v>
      </c>
      <c r="E3" s="55">
        <f t="shared" si="0"/>
        <v>-146749</v>
      </c>
      <c r="F3" s="55">
        <f t="shared" si="0"/>
        <v>-129157</v>
      </c>
      <c r="G3" s="55">
        <f t="shared" si="0"/>
        <v>-149621</v>
      </c>
      <c r="H3" s="55">
        <f t="shared" si="0"/>
        <v>-154502</v>
      </c>
      <c r="I3" s="55">
        <f t="shared" si="0"/>
        <v>-150768</v>
      </c>
      <c r="J3" s="55">
        <f t="shared" si="0"/>
        <v>-438177</v>
      </c>
      <c r="K3" s="55">
        <f t="shared" si="0"/>
        <v>-263263</v>
      </c>
      <c r="L3" s="55">
        <f t="shared" si="0"/>
        <v>-291659</v>
      </c>
      <c r="M3" s="55">
        <f t="shared" si="0"/>
        <v>-203310</v>
      </c>
      <c r="N3" s="55">
        <f t="shared" si="0"/>
        <v>-245661</v>
      </c>
      <c r="O3" s="55">
        <f t="shared" si="0"/>
        <v>-239902</v>
      </c>
      <c r="P3" s="55">
        <f t="shared" si="0"/>
        <v>-233995</v>
      </c>
      <c r="Q3" s="55">
        <f t="shared" si="0"/>
        <v>-216744</v>
      </c>
      <c r="R3" s="55">
        <f t="shared" si="0"/>
        <v>-205605</v>
      </c>
      <c r="S3" s="55">
        <f t="shared" si="0"/>
        <v>-224154</v>
      </c>
      <c r="T3" s="55">
        <f>SUM(T4:T11)</f>
        <v>-214896</v>
      </c>
      <c r="U3" s="55">
        <f>SUM(U4:U11)</f>
        <v>-193281</v>
      </c>
      <c r="V3" s="55">
        <v>-149057</v>
      </c>
      <c r="W3" s="55">
        <f>SUM(W4:W11)</f>
        <v>-233928</v>
      </c>
      <c r="X3" s="55">
        <f>SUM(X4:X11)</f>
        <v>-219695</v>
      </c>
      <c r="Y3" s="55">
        <v>-184435</v>
      </c>
      <c r="Z3" s="88">
        <f t="shared" ref="Z3:AE3" si="1">SUM(Z4:Z11)</f>
        <v>-184275</v>
      </c>
      <c r="AA3" s="88">
        <f t="shared" si="1"/>
        <v>-215109</v>
      </c>
      <c r="AB3" s="88">
        <f t="shared" si="1"/>
        <v>-224663</v>
      </c>
      <c r="AC3" s="88">
        <f t="shared" si="1"/>
        <v>-208544</v>
      </c>
      <c r="AD3" s="88">
        <f t="shared" si="1"/>
        <v>-203356</v>
      </c>
      <c r="AE3" s="88">
        <f t="shared" si="1"/>
        <v>-236478</v>
      </c>
      <c r="AF3" s="88">
        <f t="shared" ref="AF3" si="2">SUM(AF4:AF11)</f>
        <v>-234898</v>
      </c>
    </row>
    <row r="4" spans="1:33" s="6" customFormat="1" ht="11.4">
      <c r="A4" s="6" t="s">
        <v>281</v>
      </c>
      <c r="B4" s="56" t="s">
        <v>117</v>
      </c>
      <c r="C4" s="72">
        <v>-120697</v>
      </c>
      <c r="D4" s="72">
        <v>-105324</v>
      </c>
      <c r="E4" s="72">
        <v>-124727</v>
      </c>
      <c r="F4" s="72">
        <v>-113130</v>
      </c>
      <c r="G4" s="72">
        <v>-124839</v>
      </c>
      <c r="H4" s="72">
        <v>-130225</v>
      </c>
      <c r="I4" s="72">
        <v>-127608</v>
      </c>
      <c r="J4" s="72">
        <v>-160403</v>
      </c>
      <c r="K4" s="72">
        <v>-214900</v>
      </c>
      <c r="L4" s="72">
        <v>-217894</v>
      </c>
      <c r="M4" s="72">
        <v>-180743</v>
      </c>
      <c r="N4" s="72">
        <v>-195745</v>
      </c>
      <c r="O4" s="72">
        <v>-194020</v>
      </c>
      <c r="P4" s="72">
        <v>-187628</v>
      </c>
      <c r="Q4" s="72">
        <v>-178324</v>
      </c>
      <c r="R4" s="72">
        <v>-177943</v>
      </c>
      <c r="S4" s="72">
        <v>-182046</v>
      </c>
      <c r="T4" s="72">
        <v>-176276</v>
      </c>
      <c r="U4" s="72">
        <v>-169913</v>
      </c>
      <c r="V4" s="72">
        <v>-137549</v>
      </c>
      <c r="W4" s="72">
        <v>-190851</v>
      </c>
      <c r="X4" s="72">
        <v>-178883</v>
      </c>
      <c r="Y4" s="72">
        <v>-150542</v>
      </c>
      <c r="Z4" s="72">
        <v>-156511</v>
      </c>
      <c r="AA4" s="72">
        <v>-175176</v>
      </c>
      <c r="AB4" s="72">
        <v>-184225</v>
      </c>
      <c r="AC4" s="72">
        <v>-177631</v>
      </c>
      <c r="AD4" s="72">
        <v>-172484</v>
      </c>
      <c r="AE4" s="72">
        <v>-198344</v>
      </c>
      <c r="AF4" s="72">
        <v>-190687</v>
      </c>
    </row>
    <row r="5" spans="1:33" s="6" customFormat="1" ht="11.4">
      <c r="A5" s="6" t="s">
        <v>282</v>
      </c>
      <c r="B5" s="56" t="s">
        <v>118</v>
      </c>
      <c r="C5" s="72">
        <v>-23224</v>
      </c>
      <c r="D5" s="72">
        <v>-20854</v>
      </c>
      <c r="E5" s="72">
        <v>-20530</v>
      </c>
      <c r="F5" s="72">
        <v>-15849</v>
      </c>
      <c r="G5" s="72">
        <v>-23279</v>
      </c>
      <c r="H5" s="72">
        <v>-22409</v>
      </c>
      <c r="I5" s="72">
        <v>-21530</v>
      </c>
      <c r="J5" s="72">
        <v>-27285</v>
      </c>
      <c r="K5" s="72">
        <v>-46731</v>
      </c>
      <c r="L5" s="72">
        <v>-51047</v>
      </c>
      <c r="M5" s="72">
        <v>-30131</v>
      </c>
      <c r="N5" s="72">
        <v>-34204</v>
      </c>
      <c r="O5" s="72">
        <v>-41644</v>
      </c>
      <c r="P5" s="72">
        <v>-36002</v>
      </c>
      <c r="Q5" s="72">
        <v>-32527</v>
      </c>
      <c r="R5" s="72">
        <v>-27824</v>
      </c>
      <c r="S5" s="72">
        <v>-38596</v>
      </c>
      <c r="T5" s="72">
        <v>-34313</v>
      </c>
      <c r="U5" s="72">
        <v>-31894</v>
      </c>
      <c r="V5" s="72">
        <v>-20412</v>
      </c>
      <c r="W5" s="72">
        <v>-40384</v>
      </c>
      <c r="X5" s="72">
        <v>-37906</v>
      </c>
      <c r="Y5" s="72">
        <v>-33315</v>
      </c>
      <c r="Z5" s="72">
        <v>-24920</v>
      </c>
      <c r="AA5" s="72">
        <v>-37073</v>
      </c>
      <c r="AB5" s="72">
        <v>-38119</v>
      </c>
      <c r="AC5" s="72">
        <v>-28089</v>
      </c>
      <c r="AD5" s="72">
        <v>-28121</v>
      </c>
      <c r="AE5" s="72">
        <v>-35431</v>
      </c>
      <c r="AF5" s="72">
        <v>-41214</v>
      </c>
    </row>
    <row r="6" spans="1:33" s="6" customFormat="1" ht="11.4">
      <c r="A6" s="6" t="s">
        <v>283</v>
      </c>
      <c r="B6" s="56" t="s">
        <v>119</v>
      </c>
      <c r="C6" s="72">
        <v>-909</v>
      </c>
      <c r="D6" s="72">
        <v>-845</v>
      </c>
      <c r="E6" s="72">
        <v>-909</v>
      </c>
      <c r="F6" s="72">
        <v>1936</v>
      </c>
      <c r="G6" s="72">
        <v>0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0</v>
      </c>
      <c r="AB6" s="72">
        <v>0</v>
      </c>
      <c r="AC6" s="72">
        <v>0</v>
      </c>
      <c r="AD6" s="72">
        <v>0</v>
      </c>
      <c r="AE6" s="72">
        <v>0</v>
      </c>
      <c r="AF6" s="72">
        <v>0</v>
      </c>
    </row>
    <row r="7" spans="1:33" s="6" customFormat="1" ht="11.4">
      <c r="A7" s="6" t="s">
        <v>284</v>
      </c>
      <c r="B7" s="56" t="s">
        <v>120</v>
      </c>
      <c r="C7" s="72">
        <v>0</v>
      </c>
      <c r="D7" s="72">
        <v>0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-56378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  <c r="S7" s="72">
        <v>0</v>
      </c>
      <c r="T7" s="72">
        <v>0</v>
      </c>
      <c r="U7" s="72">
        <v>0</v>
      </c>
      <c r="V7" s="72">
        <v>0</v>
      </c>
      <c r="W7" s="72">
        <v>0</v>
      </c>
      <c r="X7" s="72">
        <v>0</v>
      </c>
      <c r="Y7" s="72">
        <v>0</v>
      </c>
      <c r="Z7" s="72">
        <v>0</v>
      </c>
      <c r="AA7" s="72">
        <v>0</v>
      </c>
      <c r="AB7" s="72">
        <v>0</v>
      </c>
      <c r="AC7" s="72">
        <v>0</v>
      </c>
      <c r="AD7" s="72">
        <v>0</v>
      </c>
      <c r="AE7" s="72">
        <v>0</v>
      </c>
      <c r="AF7" s="72">
        <v>0</v>
      </c>
    </row>
    <row r="8" spans="1:33" s="6" customFormat="1" ht="22.8">
      <c r="A8" s="6" t="s">
        <v>285</v>
      </c>
      <c r="B8" s="56" t="s">
        <v>518</v>
      </c>
      <c r="C8" s="72">
        <v>0</v>
      </c>
      <c r="D8" s="72">
        <v>0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-12075</v>
      </c>
      <c r="K8" s="72">
        <v>0</v>
      </c>
      <c r="L8" s="72">
        <v>-20804</v>
      </c>
      <c r="M8" s="72">
        <v>9295</v>
      </c>
      <c r="N8" s="72">
        <v>-5180</v>
      </c>
      <c r="O8" s="72">
        <v>-2315</v>
      </c>
      <c r="P8" s="72">
        <v>-5658</v>
      </c>
      <c r="Q8" s="72">
        <v>-2998</v>
      </c>
      <c r="R8" s="72">
        <v>10646</v>
      </c>
      <c r="S8" s="72">
        <v>-972</v>
      </c>
      <c r="T8" s="72">
        <v>177</v>
      </c>
      <c r="U8" s="72">
        <v>1055</v>
      </c>
      <c r="V8" s="72">
        <v>4933</v>
      </c>
      <c r="W8" s="72">
        <v>0</v>
      </c>
      <c r="X8" s="72">
        <v>0</v>
      </c>
      <c r="Y8" s="72">
        <v>0</v>
      </c>
      <c r="Z8" s="72">
        <v>180</v>
      </c>
      <c r="AA8" s="72">
        <v>0</v>
      </c>
      <c r="AB8" s="72">
        <v>0</v>
      </c>
      <c r="AC8" s="72">
        <v>0</v>
      </c>
      <c r="AD8" s="72">
        <v>0</v>
      </c>
      <c r="AE8" s="72">
        <v>0</v>
      </c>
      <c r="AF8" s="72">
        <v>0</v>
      </c>
    </row>
    <row r="9" spans="1:33" s="6" customFormat="1" ht="22.8">
      <c r="A9" s="6" t="s">
        <v>286</v>
      </c>
      <c r="B9" s="56" t="s">
        <v>121</v>
      </c>
      <c r="C9" s="72">
        <v>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-14126</v>
      </c>
      <c r="K9" s="72">
        <v>0</v>
      </c>
      <c r="L9" s="72">
        <v>0</v>
      </c>
      <c r="M9" s="72">
        <v>0</v>
      </c>
      <c r="N9" s="72">
        <v>-2759</v>
      </c>
      <c r="O9" s="72">
        <v>0</v>
      </c>
      <c r="P9" s="72">
        <v>0</v>
      </c>
      <c r="Q9" s="72">
        <v>0</v>
      </c>
      <c r="R9" s="72">
        <v>211</v>
      </c>
      <c r="S9" s="72">
        <v>-865</v>
      </c>
      <c r="T9" s="72">
        <v>-601</v>
      </c>
      <c r="U9" s="72">
        <v>9587</v>
      </c>
      <c r="V9" s="72">
        <v>6421</v>
      </c>
      <c r="W9" s="72">
        <v>-354</v>
      </c>
      <c r="X9" s="72">
        <v>-853</v>
      </c>
      <c r="Y9" s="72">
        <v>1948</v>
      </c>
      <c r="Z9" s="72">
        <v>-19</v>
      </c>
      <c r="AA9" s="72">
        <v>-780</v>
      </c>
      <c r="AB9" s="72">
        <v>-295</v>
      </c>
      <c r="AC9" s="72">
        <v>-593</v>
      </c>
      <c r="AD9" s="72">
        <v>-660</v>
      </c>
      <c r="AE9" s="72">
        <v>-667</v>
      </c>
      <c r="AF9" s="72">
        <v>-339</v>
      </c>
    </row>
    <row r="10" spans="1:33" s="6" customFormat="1" ht="11.4">
      <c r="A10" s="6" t="s">
        <v>287</v>
      </c>
      <c r="B10" s="56" t="s">
        <v>122</v>
      </c>
      <c r="C10" s="72">
        <v>0</v>
      </c>
      <c r="D10" s="72">
        <v>0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-167000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2">
        <v>0</v>
      </c>
      <c r="AE10" s="72">
        <v>0</v>
      </c>
      <c r="AF10" s="72"/>
    </row>
    <row r="11" spans="1:33" s="6" customFormat="1" ht="11.4">
      <c r="A11" s="6" t="s">
        <v>288</v>
      </c>
      <c r="B11" s="56" t="s">
        <v>123</v>
      </c>
      <c r="C11" s="72">
        <v>-1307</v>
      </c>
      <c r="D11" s="72">
        <v>-5369</v>
      </c>
      <c r="E11" s="72">
        <v>-583</v>
      </c>
      <c r="F11" s="72">
        <v>-2114</v>
      </c>
      <c r="G11" s="72">
        <v>-1503</v>
      </c>
      <c r="H11" s="72">
        <v>-1868</v>
      </c>
      <c r="I11" s="72">
        <v>-1630</v>
      </c>
      <c r="J11" s="72">
        <v>-910</v>
      </c>
      <c r="K11" s="72">
        <v>-1632</v>
      </c>
      <c r="L11" s="72">
        <v>-1914</v>
      </c>
      <c r="M11" s="72">
        <v>-1731</v>
      </c>
      <c r="N11" s="72">
        <v>-7773</v>
      </c>
      <c r="O11" s="72">
        <v>-1923</v>
      </c>
      <c r="P11" s="72">
        <v>-4707</v>
      </c>
      <c r="Q11" s="72">
        <v>-2895</v>
      </c>
      <c r="R11" s="72">
        <v>-10695</v>
      </c>
      <c r="S11" s="72">
        <v>-1675</v>
      </c>
      <c r="T11" s="72">
        <v>-3883</v>
      </c>
      <c r="U11" s="72">
        <v>-2116</v>
      </c>
      <c r="V11" s="72">
        <v>-2450</v>
      </c>
      <c r="W11" s="72">
        <v>-2339</v>
      </c>
      <c r="X11" s="72">
        <v>-2053</v>
      </c>
      <c r="Y11" s="72">
        <v>-2526</v>
      </c>
      <c r="Z11" s="72">
        <v>-3005</v>
      </c>
      <c r="AA11" s="72">
        <v>-2080</v>
      </c>
      <c r="AB11" s="72">
        <v>-2024</v>
      </c>
      <c r="AC11" s="72">
        <v>-2231</v>
      </c>
      <c r="AD11" s="72">
        <v>-2091</v>
      </c>
      <c r="AE11" s="72">
        <v>-2036</v>
      </c>
      <c r="AF11" s="72">
        <v>-2658</v>
      </c>
    </row>
    <row r="12" spans="1:33" s="6" customFormat="1" ht="11.4">
      <c r="A12" s="6" t="s">
        <v>289</v>
      </c>
      <c r="B12" s="54" t="s">
        <v>124</v>
      </c>
      <c r="C12" s="55">
        <f t="shared" ref="C12:S12" si="3">SUM(C13:C24)</f>
        <v>-90595</v>
      </c>
      <c r="D12" s="55">
        <f t="shared" si="3"/>
        <v>-108504</v>
      </c>
      <c r="E12" s="55">
        <f t="shared" si="3"/>
        <v>-90502</v>
      </c>
      <c r="F12" s="55">
        <f t="shared" si="3"/>
        <v>-171210</v>
      </c>
      <c r="G12" s="55">
        <f t="shared" si="3"/>
        <v>-99192</v>
      </c>
      <c r="H12" s="55">
        <f t="shared" si="3"/>
        <v>-108369</v>
      </c>
      <c r="I12" s="55">
        <f t="shared" si="3"/>
        <v>-120837</v>
      </c>
      <c r="J12" s="55">
        <f t="shared" si="3"/>
        <v>-232246</v>
      </c>
      <c r="K12" s="55">
        <f t="shared" si="3"/>
        <v>-188245</v>
      </c>
      <c r="L12" s="55">
        <f t="shared" si="3"/>
        <v>-166474</v>
      </c>
      <c r="M12" s="55">
        <f t="shared" si="3"/>
        <v>-137699</v>
      </c>
      <c r="N12" s="55">
        <f t="shared" si="3"/>
        <v>-168699</v>
      </c>
      <c r="O12" s="55">
        <f t="shared" si="3"/>
        <v>-171117</v>
      </c>
      <c r="P12" s="55">
        <f t="shared" si="3"/>
        <v>-151659</v>
      </c>
      <c r="Q12" s="55">
        <f t="shared" si="3"/>
        <v>-141007</v>
      </c>
      <c r="R12" s="55">
        <f t="shared" si="3"/>
        <v>-145921</v>
      </c>
      <c r="S12" s="55">
        <f t="shared" si="3"/>
        <v>-225345</v>
      </c>
      <c r="T12" s="55">
        <f>SUM(T13:T24)</f>
        <v>-110669</v>
      </c>
      <c r="U12" s="55">
        <f>SUM(U13:U24)</f>
        <v>-110285</v>
      </c>
      <c r="V12" s="55">
        <v>-130689</v>
      </c>
      <c r="W12" s="55">
        <f t="shared" ref="W12:AC12" si="4">SUM(W13:W24)</f>
        <v>-180707</v>
      </c>
      <c r="X12" s="55">
        <f t="shared" si="4"/>
        <v>-109959</v>
      </c>
      <c r="Y12" s="55">
        <f t="shared" si="4"/>
        <v>-107977</v>
      </c>
      <c r="Z12" s="88">
        <f t="shared" si="4"/>
        <v>-130708</v>
      </c>
      <c r="AA12" s="88">
        <f t="shared" si="4"/>
        <v>-140775</v>
      </c>
      <c r="AB12" s="88">
        <f t="shared" si="4"/>
        <v>-90895</v>
      </c>
      <c r="AC12" s="88">
        <f t="shared" si="4"/>
        <v>-117690</v>
      </c>
      <c r="AD12" s="88">
        <f>SUM(AD13:AD24)</f>
        <v>-117249</v>
      </c>
      <c r="AE12" s="88">
        <f t="shared" ref="AE12" si="5">SUM(AE13:AE24)</f>
        <v>-192372</v>
      </c>
      <c r="AF12" s="88">
        <f>SUM(AF13:AF24)</f>
        <v>-290483</v>
      </c>
    </row>
    <row r="13" spans="1:33" s="6" customFormat="1" ht="11.4">
      <c r="A13" s="6" t="s">
        <v>290</v>
      </c>
      <c r="B13" s="56" t="s">
        <v>125</v>
      </c>
      <c r="C13" s="72">
        <v>-37282</v>
      </c>
      <c r="D13" s="72">
        <v>-35716</v>
      </c>
      <c r="E13" s="72">
        <v>-32142</v>
      </c>
      <c r="F13" s="72">
        <v>-35492</v>
      </c>
      <c r="G13" s="72">
        <v>-34345</v>
      </c>
      <c r="H13" s="72">
        <v>-29760</v>
      </c>
      <c r="I13" s="72">
        <v>-34622</v>
      </c>
      <c r="J13" s="72">
        <v>-48664</v>
      </c>
      <c r="K13" s="72">
        <v>-54218</v>
      </c>
      <c r="L13" s="72">
        <v>-23703</v>
      </c>
      <c r="M13" s="72">
        <v>-42868</v>
      </c>
      <c r="N13" s="72">
        <v>-39658</v>
      </c>
      <c r="O13" s="72">
        <v>-37739</v>
      </c>
      <c r="P13" s="72">
        <v>-37229</v>
      </c>
      <c r="Q13" s="72">
        <v>-34281</v>
      </c>
      <c r="R13" s="72">
        <v>-30488</v>
      </c>
      <c r="S13" s="72">
        <v>-16661</v>
      </c>
      <c r="T13" s="72">
        <v>-15832</v>
      </c>
      <c r="U13" s="72">
        <v>-12448</v>
      </c>
      <c r="V13" s="72">
        <v>-13838</v>
      </c>
      <c r="W13" s="72">
        <v>-14552</v>
      </c>
      <c r="X13" s="72">
        <v>-15713</v>
      </c>
      <c r="Y13" s="72">
        <v>-15158</v>
      </c>
      <c r="Z13" s="72">
        <v>-17255</v>
      </c>
      <c r="AA13" s="72">
        <v>-16787</v>
      </c>
      <c r="AB13" s="72">
        <v>-13781</v>
      </c>
      <c r="AC13" s="72">
        <v>-14479</v>
      </c>
      <c r="AD13" s="72">
        <v>-15036</v>
      </c>
      <c r="AE13" s="72">
        <v>-17936</v>
      </c>
      <c r="AF13" s="72">
        <v>-18486</v>
      </c>
    </row>
    <row r="14" spans="1:33" s="6" customFormat="1" ht="11.4">
      <c r="A14" s="6" t="s">
        <v>291</v>
      </c>
      <c r="B14" s="56" t="s">
        <v>126</v>
      </c>
      <c r="C14" s="72">
        <v>-14488</v>
      </c>
      <c r="D14" s="72">
        <v>-15187</v>
      </c>
      <c r="E14" s="72">
        <v>-15235</v>
      </c>
      <c r="F14" s="72">
        <v>-72210</v>
      </c>
      <c r="G14" s="72">
        <v>-18908</v>
      </c>
      <c r="H14" s="72">
        <v>-18394</v>
      </c>
      <c r="I14" s="72">
        <v>-19098</v>
      </c>
      <c r="J14" s="72">
        <v>-30164</v>
      </c>
      <c r="K14" s="72">
        <v>-34057</v>
      </c>
      <c r="L14" s="72">
        <v>-18462</v>
      </c>
      <c r="M14" s="72">
        <v>-11218</v>
      </c>
      <c r="N14" s="72">
        <v>-11692</v>
      </c>
      <c r="O14" s="72">
        <v>-54675</v>
      </c>
      <c r="P14" s="72">
        <v>-17041</v>
      </c>
      <c r="Q14" s="72">
        <v>-17093</v>
      </c>
      <c r="R14" s="72">
        <v>-17446</v>
      </c>
      <c r="S14" s="72">
        <v>-121732</v>
      </c>
      <c r="T14" s="72">
        <v>-11594</v>
      </c>
      <c r="U14" s="72">
        <v>-11533</v>
      </c>
      <c r="V14" s="72">
        <v>-11730</v>
      </c>
      <c r="W14" s="72">
        <v>-88599</v>
      </c>
      <c r="X14" s="72">
        <v>-24064</v>
      </c>
      <c r="Y14" s="72">
        <v>-23724</v>
      </c>
      <c r="Z14" s="72">
        <v>-23455</v>
      </c>
      <c r="AA14" s="72">
        <v>-62868</v>
      </c>
      <c r="AB14" s="72">
        <v>-14708</v>
      </c>
      <c r="AC14" s="72">
        <v>-14331</v>
      </c>
      <c r="AD14" s="72">
        <v>-14360</v>
      </c>
      <c r="AE14" s="72">
        <v>-96955</v>
      </c>
      <c r="AF14" s="72">
        <v>0</v>
      </c>
    </row>
    <row r="15" spans="1:33" s="6" customFormat="1" ht="11.4">
      <c r="A15" s="6" t="s">
        <v>519</v>
      </c>
      <c r="B15" s="56" t="s">
        <v>520</v>
      </c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0</v>
      </c>
      <c r="AF15" s="72">
        <v>-195486</v>
      </c>
    </row>
    <row r="16" spans="1:33" s="6" customFormat="1" ht="11.4">
      <c r="A16" s="6" t="s">
        <v>292</v>
      </c>
      <c r="B16" s="56" t="s">
        <v>127</v>
      </c>
      <c r="C16" s="72">
        <v>-9141</v>
      </c>
      <c r="D16" s="72">
        <v>-11924</v>
      </c>
      <c r="E16" s="72">
        <v>-10647</v>
      </c>
      <c r="F16" s="72">
        <v>-14193</v>
      </c>
      <c r="G16" s="72">
        <v>-12932</v>
      </c>
      <c r="H16" s="72">
        <v>-11537</v>
      </c>
      <c r="I16" s="72">
        <v>-11518</v>
      </c>
      <c r="J16" s="72">
        <v>-32225</v>
      </c>
      <c r="K16" s="72">
        <v>-44284</v>
      </c>
      <c r="L16" s="72">
        <v>-48050</v>
      </c>
      <c r="M16" s="72">
        <v>-31708</v>
      </c>
      <c r="N16" s="72">
        <v>-32725</v>
      </c>
      <c r="O16" s="72">
        <v>-22904</v>
      </c>
      <c r="P16" s="72">
        <v>-24788</v>
      </c>
      <c r="Q16" s="72">
        <v>-24749</v>
      </c>
      <c r="R16" s="72">
        <v>-26945</v>
      </c>
      <c r="S16" s="72">
        <v>-22610</v>
      </c>
      <c r="T16" s="72">
        <v>-26420</v>
      </c>
      <c r="U16" s="72">
        <v>-30743</v>
      </c>
      <c r="V16" s="72">
        <v>-32412</v>
      </c>
      <c r="W16" s="72">
        <v>-24549</v>
      </c>
      <c r="X16" s="72">
        <v>-25458</v>
      </c>
      <c r="Y16" s="72">
        <v>-30301</v>
      </c>
      <c r="Z16" s="72">
        <v>-38086</v>
      </c>
      <c r="AA16" s="72">
        <v>-29840</v>
      </c>
      <c r="AB16" s="72">
        <v>-31234</v>
      </c>
      <c r="AC16" s="72">
        <v>-32619</v>
      </c>
      <c r="AD16" s="72">
        <v>-32508</v>
      </c>
      <c r="AE16" s="72">
        <v>-32083</v>
      </c>
      <c r="AF16" s="72">
        <v>-34199</v>
      </c>
    </row>
    <row r="17" spans="1:32" s="6" customFormat="1" ht="11.4">
      <c r="A17" s="6" t="s">
        <v>293</v>
      </c>
      <c r="B17" s="56" t="s">
        <v>128</v>
      </c>
      <c r="C17" s="72">
        <v>-7939</v>
      </c>
      <c r="D17" s="72">
        <v>-17462</v>
      </c>
      <c r="E17" s="72">
        <v>-11233</v>
      </c>
      <c r="F17" s="72">
        <v>-15883</v>
      </c>
      <c r="G17" s="72">
        <v>-9162</v>
      </c>
      <c r="H17" s="72">
        <v>-12426</v>
      </c>
      <c r="I17" s="72">
        <v>-14723</v>
      </c>
      <c r="J17" s="72">
        <v>-20807</v>
      </c>
      <c r="K17" s="72">
        <v>-9415</v>
      </c>
      <c r="L17" s="72">
        <v>-17188</v>
      </c>
      <c r="M17" s="72">
        <v>-16227</v>
      </c>
      <c r="N17" s="72">
        <v>-27529</v>
      </c>
      <c r="O17" s="72">
        <v>-19122</v>
      </c>
      <c r="P17" s="72">
        <v>-22124</v>
      </c>
      <c r="Q17" s="72">
        <v>-15105</v>
      </c>
      <c r="R17" s="72">
        <v>-22343</v>
      </c>
      <c r="S17" s="72">
        <v>-20602</v>
      </c>
      <c r="T17" s="72">
        <v>-18878</v>
      </c>
      <c r="U17" s="72">
        <v>-18404</v>
      </c>
      <c r="V17" s="72">
        <v>-21394</v>
      </c>
      <c r="W17" s="72">
        <v>-11741</v>
      </c>
      <c r="X17" s="72">
        <v>-16028</v>
      </c>
      <c r="Y17" s="72">
        <v>-8111</v>
      </c>
      <c r="Z17" s="72">
        <v>-15934</v>
      </c>
      <c r="AA17" s="72">
        <v>-4312</v>
      </c>
      <c r="AB17" s="72">
        <v>-9645</v>
      </c>
      <c r="AC17" s="72">
        <v>-14177</v>
      </c>
      <c r="AD17" s="72">
        <v>-24654</v>
      </c>
      <c r="AE17" s="72">
        <v>-10987</v>
      </c>
      <c r="AF17" s="72">
        <v>-18524</v>
      </c>
    </row>
    <row r="18" spans="1:32" s="6" customFormat="1" ht="11.4">
      <c r="A18" s="6" t="s">
        <v>294</v>
      </c>
      <c r="B18" s="56" t="s">
        <v>129</v>
      </c>
      <c r="C18" s="72">
        <v>-3923</v>
      </c>
      <c r="D18" s="72">
        <v>-6331</v>
      </c>
      <c r="E18" s="72">
        <v>-4937</v>
      </c>
      <c r="F18" s="72">
        <v>-5020</v>
      </c>
      <c r="G18" s="72">
        <v>-4598</v>
      </c>
      <c r="H18" s="72">
        <v>-15223</v>
      </c>
      <c r="I18" s="72">
        <v>-10651</v>
      </c>
      <c r="J18" s="72">
        <v>-15021</v>
      </c>
      <c r="K18" s="72">
        <v>-13337</v>
      </c>
      <c r="L18" s="72">
        <v>-14022</v>
      </c>
      <c r="M18" s="72">
        <v>-4326</v>
      </c>
      <c r="N18" s="72">
        <v>-14541</v>
      </c>
      <c r="O18" s="72">
        <v>-8587</v>
      </c>
      <c r="P18" s="72">
        <v>-6728</v>
      </c>
      <c r="Q18" s="72">
        <v>-4354</v>
      </c>
      <c r="R18" s="72">
        <v>-8412</v>
      </c>
      <c r="S18" s="72">
        <v>-9794</v>
      </c>
      <c r="T18" s="72">
        <v>-6203</v>
      </c>
      <c r="U18" s="72">
        <v>-5343</v>
      </c>
      <c r="V18" s="72">
        <v>-8697</v>
      </c>
      <c r="W18" s="72">
        <v>-6044</v>
      </c>
      <c r="X18" s="72">
        <v>-5628</v>
      </c>
      <c r="Y18" s="72">
        <v>-2661</v>
      </c>
      <c r="Z18" s="72">
        <v>-7784</v>
      </c>
      <c r="AA18" s="72">
        <v>-2017</v>
      </c>
      <c r="AB18" s="72">
        <v>-3661</v>
      </c>
      <c r="AC18" s="72">
        <v>-5352</v>
      </c>
      <c r="AD18" s="72">
        <v>-7668</v>
      </c>
      <c r="AE18" s="72">
        <v>-3368</v>
      </c>
      <c r="AF18" s="72">
        <v>-3446</v>
      </c>
    </row>
    <row r="19" spans="1:32" s="6" customFormat="1" ht="11.4">
      <c r="A19" s="6" t="s">
        <v>295</v>
      </c>
      <c r="B19" s="56" t="s">
        <v>130</v>
      </c>
      <c r="C19" s="72">
        <v>-7819</v>
      </c>
      <c r="D19" s="72">
        <v>-5197</v>
      </c>
      <c r="E19" s="72">
        <v>-6380</v>
      </c>
      <c r="F19" s="72">
        <v>-7292</v>
      </c>
      <c r="G19" s="72">
        <v>-6918</v>
      </c>
      <c r="H19" s="72">
        <v>-5722</v>
      </c>
      <c r="I19" s="72">
        <v>-12179</v>
      </c>
      <c r="J19" s="72">
        <v>-20593</v>
      </c>
      <c r="K19" s="72">
        <v>-13221</v>
      </c>
      <c r="L19" s="72">
        <v>-10783</v>
      </c>
      <c r="M19" s="72">
        <v>-7082</v>
      </c>
      <c r="N19" s="72">
        <v>-10845</v>
      </c>
      <c r="O19" s="72">
        <v>-6529</v>
      </c>
      <c r="P19" s="72">
        <v>-10437</v>
      </c>
      <c r="Q19" s="72">
        <v>-12596</v>
      </c>
      <c r="R19" s="72">
        <v>-10232</v>
      </c>
      <c r="S19" s="72">
        <v>-6756</v>
      </c>
      <c r="T19" s="72">
        <v>-9525</v>
      </c>
      <c r="U19" s="72">
        <v>-7151</v>
      </c>
      <c r="V19" s="72">
        <v>-10137</v>
      </c>
      <c r="W19" s="72">
        <v>-7922</v>
      </c>
      <c r="X19" s="72">
        <v>-6227</v>
      </c>
      <c r="Y19" s="72">
        <v>-6628</v>
      </c>
      <c r="Z19" s="72">
        <v>-6192</v>
      </c>
      <c r="AA19" s="72">
        <v>-5393</v>
      </c>
      <c r="AB19" s="72">
        <v>-7142</v>
      </c>
      <c r="AC19" s="72">
        <v>-7946</v>
      </c>
      <c r="AD19" s="72">
        <v>-4895</v>
      </c>
      <c r="AE19" s="72">
        <v>-6585</v>
      </c>
      <c r="AF19" s="72">
        <v>-6538</v>
      </c>
    </row>
    <row r="20" spans="1:32" s="6" customFormat="1" ht="11.4">
      <c r="A20" s="6" t="s">
        <v>296</v>
      </c>
      <c r="B20" s="56" t="s">
        <v>131</v>
      </c>
      <c r="C20" s="72">
        <v>0</v>
      </c>
      <c r="D20" s="72">
        <v>0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-32668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72">
        <v>0</v>
      </c>
      <c r="AD20" s="72">
        <v>0</v>
      </c>
      <c r="AE20" s="72">
        <v>0</v>
      </c>
      <c r="AF20" s="72">
        <v>0</v>
      </c>
    </row>
    <row r="21" spans="1:32" s="6" customFormat="1" ht="11.4">
      <c r="A21" s="6" t="s">
        <v>297</v>
      </c>
      <c r="B21" s="56" t="s">
        <v>132</v>
      </c>
      <c r="C21" s="72">
        <v>-2170</v>
      </c>
      <c r="D21" s="72">
        <v>-2600</v>
      </c>
      <c r="E21" s="72">
        <v>-3432</v>
      </c>
      <c r="F21" s="72">
        <v>-5701</v>
      </c>
      <c r="G21" s="72">
        <v>-5250</v>
      </c>
      <c r="H21" s="72">
        <v>-5186</v>
      </c>
      <c r="I21" s="72">
        <v>-3818</v>
      </c>
      <c r="J21" s="72">
        <v>-8518</v>
      </c>
      <c r="K21" s="72">
        <v>-3290</v>
      </c>
      <c r="L21" s="72">
        <v>-7993</v>
      </c>
      <c r="M21" s="72">
        <v>-3650</v>
      </c>
      <c r="N21" s="72">
        <v>-11778</v>
      </c>
      <c r="O21" s="72">
        <v>-5601</v>
      </c>
      <c r="P21" s="72">
        <v>-6716</v>
      </c>
      <c r="Q21" s="72">
        <v>-1520</v>
      </c>
      <c r="R21" s="72">
        <v>-13598</v>
      </c>
      <c r="S21" s="72">
        <v>-4223</v>
      </c>
      <c r="T21" s="72">
        <v>-1831</v>
      </c>
      <c r="U21" s="72">
        <v>-3062</v>
      </c>
      <c r="V21" s="72">
        <v>-7142</v>
      </c>
      <c r="W21" s="72">
        <v>-2407</v>
      </c>
      <c r="X21" s="72">
        <v>-1023</v>
      </c>
      <c r="Y21" s="72">
        <v>-1100</v>
      </c>
      <c r="Z21" s="72">
        <v>-1674</v>
      </c>
      <c r="AA21" s="72">
        <v>-834</v>
      </c>
      <c r="AB21" s="72">
        <v>-828</v>
      </c>
      <c r="AC21" s="72">
        <v>-1093</v>
      </c>
      <c r="AD21" s="72">
        <v>-2920</v>
      </c>
      <c r="AE21" s="72">
        <v>-314</v>
      </c>
      <c r="AF21" s="72">
        <v>-2496</v>
      </c>
    </row>
    <row r="22" spans="1:32" s="6" customFormat="1" ht="11.4">
      <c r="A22" s="6" t="s">
        <v>298</v>
      </c>
      <c r="B22" s="56" t="s">
        <v>133</v>
      </c>
      <c r="C22" s="72">
        <v>-3999</v>
      </c>
      <c r="D22" s="72">
        <v>-3987</v>
      </c>
      <c r="E22" s="72">
        <v>-3209</v>
      </c>
      <c r="F22" s="72">
        <v>-4778</v>
      </c>
      <c r="G22" s="72">
        <v>-2949</v>
      </c>
      <c r="H22" s="72">
        <v>-3399</v>
      </c>
      <c r="I22" s="72">
        <v>-4094</v>
      </c>
      <c r="J22" s="72">
        <v>-8691</v>
      </c>
      <c r="K22" s="72">
        <v>-4645</v>
      </c>
      <c r="L22" s="72">
        <v>-9862</v>
      </c>
      <c r="M22" s="72">
        <v>-6033</v>
      </c>
      <c r="N22" s="72">
        <v>-5690</v>
      </c>
      <c r="O22" s="72">
        <v>-6022</v>
      </c>
      <c r="P22" s="72">
        <v>-5921</v>
      </c>
      <c r="Q22" s="72">
        <v>-6238</v>
      </c>
      <c r="R22" s="72">
        <v>-6925</v>
      </c>
      <c r="S22" s="72">
        <v>-5901</v>
      </c>
      <c r="T22" s="72">
        <v>-6415</v>
      </c>
      <c r="U22" s="72">
        <v>-7799</v>
      </c>
      <c r="V22" s="72">
        <v>-8949</v>
      </c>
      <c r="W22" s="72">
        <v>-5826</v>
      </c>
      <c r="X22" s="72">
        <v>-6235</v>
      </c>
      <c r="Y22" s="72">
        <v>-7253</v>
      </c>
      <c r="Z22" s="72">
        <v>-8928</v>
      </c>
      <c r="AA22" s="72">
        <v>-6702</v>
      </c>
      <c r="AB22" s="72">
        <v>-6197</v>
      </c>
      <c r="AC22" s="72">
        <v>-5938</v>
      </c>
      <c r="AD22" s="72">
        <v>-6413</v>
      </c>
      <c r="AE22" s="72">
        <v>-5980</v>
      </c>
      <c r="AF22" s="72">
        <v>-7092</v>
      </c>
    </row>
    <row r="23" spans="1:32" s="6" customFormat="1" ht="22.8">
      <c r="A23" s="6" t="s">
        <v>299</v>
      </c>
      <c r="B23" s="56" t="s">
        <v>134</v>
      </c>
      <c r="C23" s="72">
        <v>-805</v>
      </c>
      <c r="D23" s="72">
        <v>-786</v>
      </c>
      <c r="E23" s="72">
        <v>-977</v>
      </c>
      <c r="F23" s="72">
        <v>-925</v>
      </c>
      <c r="G23" s="72">
        <v>-947</v>
      </c>
      <c r="H23" s="72">
        <v>-937</v>
      </c>
      <c r="I23" s="72">
        <v>-1255</v>
      </c>
      <c r="J23" s="72">
        <v>-1234</v>
      </c>
      <c r="K23" s="72">
        <v>-1522</v>
      </c>
      <c r="L23" s="72">
        <v>-1783</v>
      </c>
      <c r="M23" s="72">
        <v>-1879</v>
      </c>
      <c r="N23" s="72">
        <v>-1916</v>
      </c>
      <c r="O23" s="72">
        <v>-1940</v>
      </c>
      <c r="P23" s="72">
        <v>-1869</v>
      </c>
      <c r="Q23" s="72">
        <v>-1794</v>
      </c>
      <c r="R23" s="72">
        <v>-2181</v>
      </c>
      <c r="S23" s="72">
        <v>-1894</v>
      </c>
      <c r="T23" s="72">
        <v>-1493</v>
      </c>
      <c r="U23" s="72">
        <v>-1953</v>
      </c>
      <c r="V23" s="72">
        <v>-1426</v>
      </c>
      <c r="W23" s="72">
        <v>-2024</v>
      </c>
      <c r="X23" s="72">
        <v>-2191</v>
      </c>
      <c r="Y23" s="72">
        <v>-2347</v>
      </c>
      <c r="Z23" s="72">
        <v>-1304</v>
      </c>
      <c r="AA23" s="72">
        <v>-770</v>
      </c>
      <c r="AB23" s="72">
        <v>444</v>
      </c>
      <c r="AC23" s="72">
        <v>-75</v>
      </c>
      <c r="AD23" s="72">
        <v>-82</v>
      </c>
      <c r="AE23" s="72">
        <v>-59</v>
      </c>
      <c r="AF23" s="72">
        <v>-23</v>
      </c>
    </row>
    <row r="24" spans="1:32" s="6" customFormat="1" ht="11.4">
      <c r="A24" s="6" t="s">
        <v>300</v>
      </c>
      <c r="B24" s="56" t="s">
        <v>123</v>
      </c>
      <c r="C24" s="72">
        <v>-3029</v>
      </c>
      <c r="D24" s="72">
        <v>-9314</v>
      </c>
      <c r="E24" s="72">
        <v>-2310</v>
      </c>
      <c r="F24" s="72">
        <v>-9716</v>
      </c>
      <c r="G24" s="72">
        <v>-3183</v>
      </c>
      <c r="H24" s="72">
        <v>-5785</v>
      </c>
      <c r="I24" s="72">
        <v>-8879</v>
      </c>
      <c r="J24" s="72">
        <v>-13661</v>
      </c>
      <c r="K24" s="72">
        <v>-10256</v>
      </c>
      <c r="L24" s="72">
        <v>-14628</v>
      </c>
      <c r="M24" s="72">
        <v>-12708</v>
      </c>
      <c r="N24" s="72">
        <v>-12325</v>
      </c>
      <c r="O24" s="72">
        <v>-7998</v>
      </c>
      <c r="P24" s="72">
        <v>-18806</v>
      </c>
      <c r="Q24" s="72">
        <v>-23277</v>
      </c>
      <c r="R24" s="72">
        <v>-7351</v>
      </c>
      <c r="S24" s="72">
        <v>-15172</v>
      </c>
      <c r="T24" s="72">
        <v>-12478</v>
      </c>
      <c r="U24" s="72">
        <v>-11849</v>
      </c>
      <c r="V24" s="72">
        <v>-14964</v>
      </c>
      <c r="W24" s="72">
        <v>-17043</v>
      </c>
      <c r="X24" s="72">
        <v>-7392</v>
      </c>
      <c r="Y24" s="72">
        <v>-10694</v>
      </c>
      <c r="Z24" s="72">
        <v>-10096</v>
      </c>
      <c r="AA24" s="72">
        <v>-11252</v>
      </c>
      <c r="AB24" s="72">
        <v>-4143</v>
      </c>
      <c r="AC24" s="72">
        <v>-21680</v>
      </c>
      <c r="AD24" s="72">
        <v>-8713</v>
      </c>
      <c r="AE24" s="72">
        <v>-18105</v>
      </c>
      <c r="AF24" s="72">
        <v>-4193</v>
      </c>
    </row>
    <row r="25" spans="1:32" s="6" customFormat="1" ht="11.4">
      <c r="A25" s="6" t="s">
        <v>301</v>
      </c>
      <c r="B25" s="54" t="s">
        <v>135</v>
      </c>
      <c r="C25" s="55">
        <f t="shared" ref="C25:S25" si="6">SUM(C26:C28)</f>
        <v>-18954</v>
      </c>
      <c r="D25" s="55">
        <f t="shared" si="6"/>
        <v>-20934</v>
      </c>
      <c r="E25" s="55">
        <f t="shared" si="6"/>
        <v>-22935</v>
      </c>
      <c r="F25" s="55">
        <f t="shared" si="6"/>
        <v>-23540</v>
      </c>
      <c r="G25" s="55">
        <f t="shared" si="6"/>
        <v>-24977</v>
      </c>
      <c r="H25" s="55">
        <f t="shared" si="6"/>
        <v>-22526</v>
      </c>
      <c r="I25" s="55">
        <f t="shared" si="6"/>
        <v>-23166</v>
      </c>
      <c r="J25" s="55">
        <f t="shared" si="6"/>
        <v>-34808</v>
      </c>
      <c r="K25" s="55">
        <f t="shared" si="6"/>
        <v>-45105</v>
      </c>
      <c r="L25" s="55">
        <f t="shared" si="6"/>
        <v>-43430</v>
      </c>
      <c r="M25" s="55">
        <f t="shared" si="6"/>
        <v>-57976</v>
      </c>
      <c r="N25" s="55">
        <f t="shared" si="6"/>
        <v>-30529</v>
      </c>
      <c r="O25" s="55">
        <f t="shared" si="6"/>
        <v>-43235</v>
      </c>
      <c r="P25" s="55">
        <f t="shared" si="6"/>
        <v>-42810</v>
      </c>
      <c r="Q25" s="55">
        <f t="shared" si="6"/>
        <v>-44800</v>
      </c>
      <c r="R25" s="55">
        <f t="shared" si="6"/>
        <v>-43682</v>
      </c>
      <c r="S25" s="55">
        <f t="shared" si="6"/>
        <v>-59139</v>
      </c>
      <c r="T25" s="55">
        <f>SUM(T26:T28)</f>
        <v>-61584</v>
      </c>
      <c r="U25" s="55">
        <f>SUM(U26:U28)</f>
        <v>-61263</v>
      </c>
      <c r="V25" s="55">
        <v>-65607</v>
      </c>
      <c r="W25" s="55">
        <f>SUM(W26:W28)</f>
        <v>-60867</v>
      </c>
      <c r="X25" s="55">
        <v>-58955</v>
      </c>
      <c r="Y25" s="55">
        <v>-109172</v>
      </c>
      <c r="Z25" s="88">
        <f t="shared" ref="Z25:AE25" si="7">SUM(Z26:Z28)</f>
        <v>-58663.569969999997</v>
      </c>
      <c r="AA25" s="88">
        <f t="shared" si="7"/>
        <v>-55717</v>
      </c>
      <c r="AB25" s="88">
        <f t="shared" si="7"/>
        <v>-57127</v>
      </c>
      <c r="AC25" s="88">
        <f t="shared" si="7"/>
        <v>-60992</v>
      </c>
      <c r="AD25" s="88">
        <f t="shared" si="7"/>
        <v>-59147</v>
      </c>
      <c r="AE25" s="88">
        <f t="shared" si="7"/>
        <v>-57419</v>
      </c>
      <c r="AF25" s="88">
        <f>SUM(AF26:AF28)</f>
        <v>-58893</v>
      </c>
    </row>
    <row r="26" spans="1:32" s="6" customFormat="1" ht="11.4">
      <c r="A26" s="6" t="s">
        <v>302</v>
      </c>
      <c r="B26" s="56" t="s">
        <v>136</v>
      </c>
      <c r="C26" s="72">
        <v>-11480</v>
      </c>
      <c r="D26" s="72">
        <v>-11899</v>
      </c>
      <c r="E26" s="72">
        <v>-14230</v>
      </c>
      <c r="F26" s="72">
        <v>-13354</v>
      </c>
      <c r="G26" s="72">
        <v>-15439</v>
      </c>
      <c r="H26" s="72">
        <v>-12938</v>
      </c>
      <c r="I26" s="72">
        <v>-14122</v>
      </c>
      <c r="J26" s="72">
        <v>-22396</v>
      </c>
      <c r="K26" s="72">
        <v>-28454</v>
      </c>
      <c r="L26" s="72">
        <v>-25518</v>
      </c>
      <c r="M26" s="72">
        <v>-28583</v>
      </c>
      <c r="N26" s="72">
        <v>-23461</v>
      </c>
      <c r="O26" s="72">
        <v>-24172</v>
      </c>
      <c r="P26" s="72">
        <v>-23886</v>
      </c>
      <c r="Q26" s="72">
        <v>-24610</v>
      </c>
      <c r="R26" s="72">
        <v>-24883</v>
      </c>
      <c r="S26" s="72">
        <v>-22767</v>
      </c>
      <c r="T26" s="72">
        <v>-22028</v>
      </c>
      <c r="U26" s="72">
        <v>-21694</v>
      </c>
      <c r="V26" s="72">
        <v>-20926</v>
      </c>
      <c r="W26" s="72">
        <v>-19966</v>
      </c>
      <c r="X26" s="72">
        <v>-19252</v>
      </c>
      <c r="Y26" s="72">
        <v>-22904</v>
      </c>
      <c r="Z26" s="72">
        <v>-19208</v>
      </c>
      <c r="AA26" s="72">
        <v>-18776</v>
      </c>
      <c r="AB26" s="72">
        <v>-18208</v>
      </c>
      <c r="AC26" s="72">
        <v>-18197</v>
      </c>
      <c r="AD26" s="72">
        <v>-17581</v>
      </c>
      <c r="AE26" s="72">
        <v>-17748</v>
      </c>
      <c r="AF26" s="72">
        <v>-17259</v>
      </c>
    </row>
    <row r="27" spans="1:32" s="6" customFormat="1" ht="11.4">
      <c r="A27" s="6" t="s">
        <v>303</v>
      </c>
      <c r="B27" s="56" t="s">
        <v>137</v>
      </c>
      <c r="C27" s="72">
        <v>-7474</v>
      </c>
      <c r="D27" s="72">
        <v>-9035</v>
      </c>
      <c r="E27" s="72">
        <v>-8705</v>
      </c>
      <c r="F27" s="72">
        <v>-10186</v>
      </c>
      <c r="G27" s="72">
        <v>-9538</v>
      </c>
      <c r="H27" s="72">
        <v>-9588</v>
      </c>
      <c r="I27" s="72">
        <v>-9044</v>
      </c>
      <c r="J27" s="72">
        <v>-12412</v>
      </c>
      <c r="K27" s="72">
        <v>-16651</v>
      </c>
      <c r="L27" s="72">
        <v>-17912</v>
      </c>
      <c r="M27" s="72">
        <v>-29393</v>
      </c>
      <c r="N27" s="72">
        <v>-7068</v>
      </c>
      <c r="O27" s="72">
        <v>-19063</v>
      </c>
      <c r="P27" s="72">
        <v>-18924</v>
      </c>
      <c r="Q27" s="72">
        <v>-20190</v>
      </c>
      <c r="R27" s="72">
        <v>-18799</v>
      </c>
      <c r="S27" s="72">
        <v>-14734</v>
      </c>
      <c r="T27" s="72">
        <v>-15784</v>
      </c>
      <c r="U27" s="72">
        <v>-15241</v>
      </c>
      <c r="V27" s="72">
        <v>-22208</v>
      </c>
      <c r="W27" s="72">
        <v>-17169</v>
      </c>
      <c r="X27" s="72">
        <v>-16388</v>
      </c>
      <c r="Y27" s="72">
        <v>-63578</v>
      </c>
      <c r="Z27" s="72">
        <v>-15924</v>
      </c>
      <c r="AA27" s="72">
        <v>-14771</v>
      </c>
      <c r="AB27" s="72">
        <v>-15543</v>
      </c>
      <c r="AC27" s="72">
        <v>-16296</v>
      </c>
      <c r="AD27" s="72">
        <v>-17059</v>
      </c>
      <c r="AE27" s="72">
        <v>-16590</v>
      </c>
      <c r="AF27" s="72">
        <v>-18666</v>
      </c>
    </row>
    <row r="28" spans="1:32" s="6" customFormat="1" ht="11.4">
      <c r="A28" s="6" t="s">
        <v>522</v>
      </c>
      <c r="B28" s="56" t="s">
        <v>521</v>
      </c>
      <c r="C28" s="75" t="s">
        <v>100</v>
      </c>
      <c r="D28" s="75" t="s">
        <v>100</v>
      </c>
      <c r="E28" s="75" t="s">
        <v>100</v>
      </c>
      <c r="F28" s="75" t="s">
        <v>100</v>
      </c>
      <c r="G28" s="75" t="s">
        <v>100</v>
      </c>
      <c r="H28" s="75" t="s">
        <v>100</v>
      </c>
      <c r="I28" s="75" t="s">
        <v>100</v>
      </c>
      <c r="J28" s="75" t="s">
        <v>100</v>
      </c>
      <c r="K28" s="75" t="s">
        <v>100</v>
      </c>
      <c r="L28" s="75" t="s">
        <v>100</v>
      </c>
      <c r="M28" s="75" t="s">
        <v>100</v>
      </c>
      <c r="N28" s="75" t="s">
        <v>100</v>
      </c>
      <c r="O28" s="75" t="s">
        <v>100</v>
      </c>
      <c r="P28" s="75" t="s">
        <v>100</v>
      </c>
      <c r="Q28" s="75" t="s">
        <v>100</v>
      </c>
      <c r="R28" s="75" t="s">
        <v>100</v>
      </c>
      <c r="S28" s="72">
        <v>-21638</v>
      </c>
      <c r="T28" s="72">
        <v>-23772</v>
      </c>
      <c r="U28" s="72">
        <v>-24328</v>
      </c>
      <c r="V28" s="72">
        <v>-22473</v>
      </c>
      <c r="W28" s="72">
        <v>-23732</v>
      </c>
      <c r="X28" s="72">
        <v>-23315</v>
      </c>
      <c r="Y28" s="72">
        <v>-22690</v>
      </c>
      <c r="Z28" s="72">
        <v>-23531.569969999997</v>
      </c>
      <c r="AA28" s="72">
        <v>-22170</v>
      </c>
      <c r="AB28" s="72">
        <v>-23376</v>
      </c>
      <c r="AC28" s="72">
        <v>-26499</v>
      </c>
      <c r="AD28" s="72">
        <v>-24507</v>
      </c>
      <c r="AE28" s="72">
        <v>-23081</v>
      </c>
      <c r="AF28" s="72">
        <v>-22968</v>
      </c>
    </row>
    <row r="29" spans="1:32" s="6" customFormat="1" ht="11.4">
      <c r="A29" s="6" t="s">
        <v>304</v>
      </c>
      <c r="B29" s="54" t="s">
        <v>138</v>
      </c>
      <c r="C29" s="55">
        <v>-2172</v>
      </c>
      <c r="D29" s="55">
        <v>-704</v>
      </c>
      <c r="E29" s="55">
        <v>-2235</v>
      </c>
      <c r="F29" s="55">
        <v>-1172</v>
      </c>
      <c r="G29" s="55">
        <v>-2824</v>
      </c>
      <c r="H29" s="55">
        <v>-1818</v>
      </c>
      <c r="I29" s="55">
        <v>-2338</v>
      </c>
      <c r="J29" s="55">
        <v>-391</v>
      </c>
      <c r="K29" s="55">
        <v>-2290</v>
      </c>
      <c r="L29" s="55">
        <v>-1593</v>
      </c>
      <c r="M29" s="55">
        <v>-2154</v>
      </c>
      <c r="N29" s="55">
        <v>-5490</v>
      </c>
      <c r="O29" s="55">
        <v>-1839</v>
      </c>
      <c r="P29" s="55">
        <v>-1696</v>
      </c>
      <c r="Q29" s="55">
        <v>-8758</v>
      </c>
      <c r="R29" s="55">
        <v>-12233</v>
      </c>
      <c r="S29" s="55">
        <v>-3759</v>
      </c>
      <c r="T29" s="55">
        <v>-6409</v>
      </c>
      <c r="U29" s="55">
        <v>-7158</v>
      </c>
      <c r="V29" s="55">
        <v>-6809</v>
      </c>
      <c r="W29" s="55">
        <v>-6089</v>
      </c>
      <c r="X29" s="55">
        <v>-6371</v>
      </c>
      <c r="Y29" s="55">
        <v>-6216</v>
      </c>
      <c r="Z29" s="88">
        <v>-6513</v>
      </c>
      <c r="AA29" s="88">
        <v>-6340</v>
      </c>
      <c r="AB29" s="88">
        <v>-6645</v>
      </c>
      <c r="AC29" s="88">
        <v>-6646</v>
      </c>
      <c r="AD29" s="88">
        <v>-11649</v>
      </c>
      <c r="AE29" s="88">
        <v>-6745</v>
      </c>
      <c r="AF29" s="88">
        <v>-7171</v>
      </c>
    </row>
    <row r="30" spans="1:32" s="6" customFormat="1" ht="11.4">
      <c r="A30" s="6" t="s">
        <v>305</v>
      </c>
      <c r="B30" s="54" t="s">
        <v>139</v>
      </c>
      <c r="C30" s="55">
        <f t="shared" ref="C30:S30" si="8">C3+C12+C25+C29</f>
        <v>-257858</v>
      </c>
      <c r="D30" s="55">
        <f t="shared" si="8"/>
        <v>-262534</v>
      </c>
      <c r="E30" s="55">
        <f t="shared" si="8"/>
        <v>-262421</v>
      </c>
      <c r="F30" s="55">
        <f t="shared" si="8"/>
        <v>-325079</v>
      </c>
      <c r="G30" s="55">
        <f t="shared" si="8"/>
        <v>-276614</v>
      </c>
      <c r="H30" s="55">
        <f t="shared" si="8"/>
        <v>-287215</v>
      </c>
      <c r="I30" s="55">
        <f t="shared" si="8"/>
        <v>-297109</v>
      </c>
      <c r="J30" s="55">
        <f t="shared" si="8"/>
        <v>-705622</v>
      </c>
      <c r="K30" s="55">
        <f t="shared" si="8"/>
        <v>-498903</v>
      </c>
      <c r="L30" s="55">
        <f t="shared" si="8"/>
        <v>-503156</v>
      </c>
      <c r="M30" s="55">
        <f t="shared" si="8"/>
        <v>-401139</v>
      </c>
      <c r="N30" s="55">
        <f t="shared" si="8"/>
        <v>-450379</v>
      </c>
      <c r="O30" s="55">
        <f t="shared" si="8"/>
        <v>-456093</v>
      </c>
      <c r="P30" s="55">
        <f t="shared" si="8"/>
        <v>-430160</v>
      </c>
      <c r="Q30" s="55">
        <f t="shared" si="8"/>
        <v>-411309</v>
      </c>
      <c r="R30" s="55">
        <f t="shared" si="8"/>
        <v>-407441</v>
      </c>
      <c r="S30" s="55">
        <f t="shared" si="8"/>
        <v>-512397</v>
      </c>
      <c r="T30" s="55">
        <f>T3+T12+T25+T29</f>
        <v>-393558</v>
      </c>
      <c r="U30" s="55">
        <v>-371987</v>
      </c>
      <c r="V30" s="55">
        <v>-352162</v>
      </c>
      <c r="W30" s="55">
        <f t="shared" ref="W30:AC30" si="9">W3+W12+W25+W29</f>
        <v>-481591</v>
      </c>
      <c r="X30" s="55">
        <f t="shared" si="9"/>
        <v>-394980</v>
      </c>
      <c r="Y30" s="55">
        <f t="shared" si="9"/>
        <v>-407800</v>
      </c>
      <c r="Z30" s="88">
        <f t="shared" si="9"/>
        <v>-380159.56997000001</v>
      </c>
      <c r="AA30" s="88">
        <f t="shared" si="9"/>
        <v>-417941</v>
      </c>
      <c r="AB30" s="88">
        <f t="shared" si="9"/>
        <v>-379330</v>
      </c>
      <c r="AC30" s="88">
        <f t="shared" si="9"/>
        <v>-393872</v>
      </c>
      <c r="AD30" s="88">
        <f>AD3+AD12+AD25+AD29</f>
        <v>-391401</v>
      </c>
      <c r="AE30" s="88">
        <f t="shared" ref="AE30:AF30" si="10">AE3+AE12+AE25+AE29</f>
        <v>-493014</v>
      </c>
      <c r="AF30" s="88">
        <f t="shared" si="10"/>
        <v>-591445</v>
      </c>
    </row>
    <row r="31" spans="1:32" ht="11.4">
      <c r="Z31" s="17"/>
      <c r="AA31" s="17"/>
      <c r="AB31" s="17"/>
      <c r="AC31" s="17"/>
      <c r="AD31" s="17"/>
      <c r="AE31" s="17"/>
      <c r="AF31" s="17"/>
    </row>
    <row r="32" spans="1:32" ht="11.4">
      <c r="Z32" s="6"/>
      <c r="AA32" s="17"/>
      <c r="AB32" s="17"/>
      <c r="AC32" s="17"/>
      <c r="AD32" s="17"/>
      <c r="AE32" s="17"/>
      <c r="AF32" s="17"/>
    </row>
    <row r="33" spans="21:32" ht="11.4">
      <c r="U33"/>
      <c r="Z33" s="6"/>
      <c r="AA33" s="17"/>
      <c r="AB33" s="17"/>
      <c r="AC33" s="17"/>
      <c r="AD33" s="17"/>
      <c r="AE33" s="17"/>
      <c r="AF33" s="17"/>
    </row>
    <row r="34" spans="21:32" ht="11.4">
      <c r="Z34" s="17"/>
      <c r="AA34" s="17"/>
      <c r="AB34" s="17"/>
      <c r="AC34" s="17"/>
      <c r="AD34" s="17"/>
      <c r="AE34" s="17"/>
      <c r="AF34" s="17"/>
    </row>
    <row r="35" spans="21:32" ht="11.4">
      <c r="AA35" s="17"/>
      <c r="AB35" s="17"/>
      <c r="AC35" s="17"/>
      <c r="AD35" s="17"/>
      <c r="AE35" s="17"/>
      <c r="AF35" s="17"/>
    </row>
    <row r="36" spans="21:32" ht="11.4">
      <c r="AA36" s="6"/>
      <c r="AB36" s="6"/>
      <c r="AC36" s="6"/>
      <c r="AD36" s="6"/>
      <c r="AE36" s="6"/>
      <c r="AF36" s="6"/>
    </row>
    <row r="37" spans="21:32" ht="11.4">
      <c r="AA37" s="6"/>
      <c r="AB37" s="6"/>
      <c r="AC37" s="6"/>
      <c r="AD37" s="6"/>
      <c r="AE37" s="6"/>
      <c r="AF37" s="6"/>
    </row>
    <row r="38" spans="21:32" ht="11.4">
      <c r="AA38" s="6"/>
      <c r="AB38" s="6"/>
      <c r="AC38" s="6"/>
      <c r="AD38" s="6"/>
      <c r="AE38" s="6"/>
      <c r="AF38" s="6"/>
    </row>
    <row r="39" spans="21:32" ht="11.4">
      <c r="AA39" s="6"/>
      <c r="AB39" s="6"/>
      <c r="AC39" s="6"/>
      <c r="AD39" s="6"/>
      <c r="AE39" s="6"/>
      <c r="AF39" s="6"/>
    </row>
    <row r="40" spans="21:32" ht="11.4">
      <c r="AA40" s="6"/>
      <c r="AB40" s="6"/>
      <c r="AC40" s="6"/>
      <c r="AD40" s="6"/>
      <c r="AE40" s="6"/>
      <c r="AF40" s="6"/>
    </row>
    <row r="41" spans="21:32" ht="11.4">
      <c r="AA41" s="6"/>
      <c r="AB41" s="6"/>
      <c r="AC41" s="6"/>
      <c r="AD41" s="6"/>
      <c r="AE41" s="6"/>
      <c r="AF41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F37"/>
  <sheetViews>
    <sheetView zoomScaleNormal="100" workbookViewId="0">
      <pane xSplit="2" ySplit="2" topLeftCell="Z3" activePane="bottomRight" state="frozen"/>
      <selection pane="topRight" activeCell="C1" sqref="C1"/>
      <selection pane="bottomLeft" activeCell="A4" sqref="A4"/>
      <selection pane="bottomRight" activeCell="AJ23" sqref="AJ23"/>
    </sheetView>
  </sheetViews>
  <sheetFormatPr defaultRowHeight="10.199999999999999"/>
  <cols>
    <col min="1" max="1" width="39.140625" style="4" customWidth="1"/>
    <col min="2" max="2" width="41.140625" customWidth="1"/>
    <col min="3" max="26" width="11.140625" customWidth="1"/>
  </cols>
  <sheetData>
    <row r="1" spans="1:32" ht="10.8" thickBot="1">
      <c r="C1" s="111" t="s">
        <v>416</v>
      </c>
      <c r="D1" s="111" t="s">
        <v>417</v>
      </c>
      <c r="E1" s="111" t="s">
        <v>418</v>
      </c>
      <c r="F1" s="111" t="s">
        <v>419</v>
      </c>
      <c r="G1" s="111" t="s">
        <v>420</v>
      </c>
      <c r="H1" s="111" t="s">
        <v>421</v>
      </c>
      <c r="I1" s="111" t="s">
        <v>422</v>
      </c>
      <c r="J1" s="111" t="s">
        <v>423</v>
      </c>
      <c r="K1" s="111" t="s">
        <v>424</v>
      </c>
      <c r="L1" s="111" t="s">
        <v>425</v>
      </c>
      <c r="M1" s="111" t="s">
        <v>426</v>
      </c>
      <c r="N1" s="111" t="s">
        <v>427</v>
      </c>
      <c r="O1" s="111" t="s">
        <v>428</v>
      </c>
      <c r="P1" s="111" t="s">
        <v>429</v>
      </c>
      <c r="Q1" s="111" t="s">
        <v>430</v>
      </c>
      <c r="R1" s="111" t="s">
        <v>431</v>
      </c>
      <c r="S1" s="111" t="s">
        <v>432</v>
      </c>
      <c r="T1" s="111" t="s">
        <v>433</v>
      </c>
      <c r="U1" s="111" t="s">
        <v>434</v>
      </c>
      <c r="V1" s="111" t="s">
        <v>435</v>
      </c>
      <c r="W1" s="111" t="s">
        <v>436</v>
      </c>
      <c r="X1" s="111" t="s">
        <v>437</v>
      </c>
      <c r="Y1" s="111" t="s">
        <v>438</v>
      </c>
      <c r="Z1" s="111" t="s">
        <v>439</v>
      </c>
      <c r="AA1" s="111" t="s">
        <v>440</v>
      </c>
      <c r="AB1" s="111" t="s">
        <v>441</v>
      </c>
      <c r="AC1" s="111" t="s">
        <v>442</v>
      </c>
      <c r="AD1" s="111" t="s">
        <v>472</v>
      </c>
      <c r="AE1" s="111" t="s">
        <v>501</v>
      </c>
      <c r="AF1" s="111" t="s">
        <v>503</v>
      </c>
    </row>
    <row r="2" spans="1:32" ht="12" thickBot="1">
      <c r="B2" s="5"/>
      <c r="C2" s="111" t="s">
        <v>443</v>
      </c>
      <c r="D2" s="111" t="s">
        <v>444</v>
      </c>
      <c r="E2" s="111" t="s">
        <v>445</v>
      </c>
      <c r="F2" s="111" t="s">
        <v>446</v>
      </c>
      <c r="G2" s="111" t="s">
        <v>447</v>
      </c>
      <c r="H2" s="111" t="s">
        <v>448</v>
      </c>
      <c r="I2" s="111" t="s">
        <v>449</v>
      </c>
      <c r="J2" s="111" t="s">
        <v>450</v>
      </c>
      <c r="K2" s="111" t="s">
        <v>451</v>
      </c>
      <c r="L2" s="111" t="s">
        <v>452</v>
      </c>
      <c r="M2" s="111" t="s">
        <v>453</v>
      </c>
      <c r="N2" s="111" t="s">
        <v>454</v>
      </c>
      <c r="O2" s="111" t="s">
        <v>455</v>
      </c>
      <c r="P2" s="111" t="s">
        <v>456</v>
      </c>
      <c r="Q2" s="111" t="s">
        <v>457</v>
      </c>
      <c r="R2" s="111" t="s">
        <v>458</v>
      </c>
      <c r="S2" s="111" t="s">
        <v>459</v>
      </c>
      <c r="T2" s="111" t="s">
        <v>460</v>
      </c>
      <c r="U2" s="111" t="s">
        <v>461</v>
      </c>
      <c r="V2" s="111" t="s">
        <v>462</v>
      </c>
      <c r="W2" s="111" t="s">
        <v>463</v>
      </c>
      <c r="X2" s="111" t="s">
        <v>464</v>
      </c>
      <c r="Y2" s="111" t="s">
        <v>465</v>
      </c>
      <c r="Z2" s="111" t="s">
        <v>466</v>
      </c>
      <c r="AA2" s="111" t="s">
        <v>467</v>
      </c>
      <c r="AB2" s="111" t="s">
        <v>468</v>
      </c>
      <c r="AC2" s="111" t="s">
        <v>469</v>
      </c>
      <c r="AD2" s="111" t="s">
        <v>471</v>
      </c>
      <c r="AE2" s="111" t="s">
        <v>502</v>
      </c>
      <c r="AF2" s="111" t="s">
        <v>504</v>
      </c>
    </row>
    <row r="3" spans="1:32" s="7" customFormat="1" ht="13.8" thickBot="1">
      <c r="A3" s="6" t="s">
        <v>266</v>
      </c>
      <c r="B3" s="42" t="s">
        <v>101</v>
      </c>
      <c r="C3" s="43">
        <v>-139411</v>
      </c>
      <c r="D3" s="43">
        <v>-171550</v>
      </c>
      <c r="E3" s="43">
        <v>-159021</v>
      </c>
      <c r="F3" s="43">
        <v>-179155</v>
      </c>
      <c r="G3" s="43">
        <v>-161366</v>
      </c>
      <c r="H3" s="43">
        <v>-158213</v>
      </c>
      <c r="I3" s="43">
        <v>-187100</v>
      </c>
      <c r="J3" s="43">
        <v>-224728</v>
      </c>
      <c r="K3" s="43">
        <v>-191815</v>
      </c>
      <c r="L3" s="43">
        <v>-241103</v>
      </c>
      <c r="M3" s="43">
        <v>-189063</v>
      </c>
      <c r="N3" s="43">
        <v>-265971</v>
      </c>
      <c r="O3" s="43">
        <v>-289904</v>
      </c>
      <c r="P3" s="43">
        <v>-256111</v>
      </c>
      <c r="Q3" s="43">
        <v>-301583</v>
      </c>
      <c r="R3" s="43">
        <v>-402493</v>
      </c>
      <c r="S3" s="43">
        <v>-308885</v>
      </c>
      <c r="T3" s="43">
        <v>-508721</v>
      </c>
      <c r="U3" s="43">
        <f>U4</f>
        <v>-356098</v>
      </c>
      <c r="V3" s="43">
        <v>-353797</v>
      </c>
      <c r="W3" s="43">
        <f t="shared" ref="W3:AF3" si="0">W4</f>
        <v>-264994</v>
      </c>
      <c r="X3" s="43">
        <f t="shared" si="0"/>
        <v>-727362</v>
      </c>
      <c r="Y3" s="43">
        <f t="shared" si="0"/>
        <v>-243493</v>
      </c>
      <c r="Z3" s="43">
        <f t="shared" si="0"/>
        <v>-331158</v>
      </c>
      <c r="AA3" s="43">
        <f t="shared" si="0"/>
        <v>-395036</v>
      </c>
      <c r="AB3" s="43">
        <f t="shared" si="0"/>
        <v>-286989</v>
      </c>
      <c r="AC3" s="43">
        <f t="shared" si="0"/>
        <v>-304669</v>
      </c>
      <c r="AD3" s="43">
        <f t="shared" si="0"/>
        <v>-168762</v>
      </c>
      <c r="AE3" s="43">
        <f t="shared" si="0"/>
        <v>-213746</v>
      </c>
      <c r="AF3" s="43">
        <f t="shared" si="0"/>
        <v>-272146</v>
      </c>
    </row>
    <row r="4" spans="1:32" s="7" customFormat="1" ht="13.8" thickBot="1">
      <c r="A4" s="6" t="s">
        <v>267</v>
      </c>
      <c r="B4" s="44" t="s">
        <v>102</v>
      </c>
      <c r="C4" s="45">
        <v>-139411</v>
      </c>
      <c r="D4" s="45">
        <v>-171550</v>
      </c>
      <c r="E4" s="45">
        <v>-159021</v>
      </c>
      <c r="F4" s="45">
        <v>-179155</v>
      </c>
      <c r="G4" s="45">
        <v>-161366</v>
      </c>
      <c r="H4" s="45">
        <v>-158213</v>
      </c>
      <c r="I4" s="45">
        <v>-187100</v>
      </c>
      <c r="J4" s="45">
        <v>-224728</v>
      </c>
      <c r="K4" s="45">
        <v>-191815</v>
      </c>
      <c r="L4" s="45">
        <v>-241103</v>
      </c>
      <c r="M4" s="45">
        <v>-189063</v>
      </c>
      <c r="N4" s="45">
        <v>-265971</v>
      </c>
      <c r="O4" s="45">
        <v>-289904</v>
      </c>
      <c r="P4" s="45">
        <v>-256111</v>
      </c>
      <c r="Q4" s="45">
        <v>-301583</v>
      </c>
      <c r="R4" s="45">
        <v>-402493</v>
      </c>
      <c r="S4" s="45">
        <v>-308885</v>
      </c>
      <c r="T4" s="45">
        <v>-508721</v>
      </c>
      <c r="U4" s="45">
        <f>U5+U6</f>
        <v>-356098</v>
      </c>
      <c r="V4" s="45">
        <v>-353797</v>
      </c>
      <c r="W4" s="45">
        <f>W5+W6</f>
        <v>-264994</v>
      </c>
      <c r="X4" s="45">
        <f>X5+X6</f>
        <v>-727362</v>
      </c>
      <c r="Y4" s="45">
        <v>-243493</v>
      </c>
      <c r="Z4" s="45">
        <f t="shared" ref="Z4:AE4" si="1">Z5+Z6</f>
        <v>-331158</v>
      </c>
      <c r="AA4" s="45">
        <f t="shared" si="1"/>
        <v>-395036</v>
      </c>
      <c r="AB4" s="45">
        <f t="shared" si="1"/>
        <v>-286989</v>
      </c>
      <c r="AC4" s="45">
        <f t="shared" si="1"/>
        <v>-304669</v>
      </c>
      <c r="AD4" s="45">
        <f t="shared" si="1"/>
        <v>-168762</v>
      </c>
      <c r="AE4" s="45">
        <f t="shared" si="1"/>
        <v>-213746</v>
      </c>
      <c r="AF4" s="45">
        <f t="shared" ref="AF4" si="2">AF5+AF6</f>
        <v>-272146</v>
      </c>
    </row>
    <row r="5" spans="1:32" s="7" customFormat="1" ht="13.8" thickBot="1">
      <c r="A5" s="6" t="s">
        <v>268</v>
      </c>
      <c r="B5" s="46" t="s">
        <v>103</v>
      </c>
      <c r="C5" s="47">
        <v>-91063</v>
      </c>
      <c r="D5" s="47">
        <v>-117224</v>
      </c>
      <c r="E5" s="47">
        <v>-99927</v>
      </c>
      <c r="F5" s="47">
        <v>-138004</v>
      </c>
      <c r="G5" s="47">
        <v>-111289</v>
      </c>
      <c r="H5" s="47">
        <v>-96906</v>
      </c>
      <c r="I5" s="47">
        <v>-121787</v>
      </c>
      <c r="J5" s="47">
        <v>-144881</v>
      </c>
      <c r="K5" s="47">
        <v>-119944</v>
      </c>
      <c r="L5" s="47">
        <v>-149220</v>
      </c>
      <c r="M5" s="47">
        <v>-74684</v>
      </c>
      <c r="N5" s="47">
        <v>-147621</v>
      </c>
      <c r="O5" s="47">
        <v>-150043</v>
      </c>
      <c r="P5" s="47">
        <v>-119581</v>
      </c>
      <c r="Q5" s="47">
        <v>-141853</v>
      </c>
      <c r="R5" s="47">
        <v>-136119</v>
      </c>
      <c r="S5" s="47">
        <v>-129922</v>
      </c>
      <c r="T5" s="47">
        <v>-143949</v>
      </c>
      <c r="U5" s="47">
        <v>-170592</v>
      </c>
      <c r="V5" s="47">
        <v>-157486</v>
      </c>
      <c r="W5" s="47">
        <v>-153663</v>
      </c>
      <c r="X5" s="47">
        <v>-237514</v>
      </c>
      <c r="Y5" s="47">
        <v>-129115</v>
      </c>
      <c r="Z5" s="47">
        <v>-198527</v>
      </c>
      <c r="AA5" s="47">
        <v>-213412</v>
      </c>
      <c r="AB5" s="47">
        <v>-90107</v>
      </c>
      <c r="AC5" s="47">
        <v>-82238</v>
      </c>
      <c r="AD5" s="47">
        <v>-68055</v>
      </c>
      <c r="AE5" s="47">
        <v>-108267</v>
      </c>
      <c r="AF5" s="47">
        <v>-110731</v>
      </c>
    </row>
    <row r="6" spans="1:32" s="7" customFormat="1" ht="13.8" thickBot="1">
      <c r="A6" s="6" t="s">
        <v>269</v>
      </c>
      <c r="B6" s="46" t="s">
        <v>104</v>
      </c>
      <c r="C6" s="47">
        <v>-48348</v>
      </c>
      <c r="D6" s="47">
        <v>-54326</v>
      </c>
      <c r="E6" s="47">
        <v>-59094</v>
      </c>
      <c r="F6" s="47">
        <v>-41151</v>
      </c>
      <c r="G6" s="47">
        <v>-50077</v>
      </c>
      <c r="H6" s="47">
        <v>-61307</v>
      </c>
      <c r="I6" s="47">
        <v>-65313</v>
      </c>
      <c r="J6" s="47">
        <v>-79847</v>
      </c>
      <c r="K6" s="47">
        <v>-71871</v>
      </c>
      <c r="L6" s="47">
        <v>-91883</v>
      </c>
      <c r="M6" s="47">
        <v>-114379</v>
      </c>
      <c r="N6" s="47">
        <v>-118350</v>
      </c>
      <c r="O6" s="47">
        <v>-139861</v>
      </c>
      <c r="P6" s="47">
        <v>-136530</v>
      </c>
      <c r="Q6" s="47">
        <v>-159730</v>
      </c>
      <c r="R6" s="47">
        <v>-266374</v>
      </c>
      <c r="S6" s="47">
        <v>-178963</v>
      </c>
      <c r="T6" s="47">
        <v>-364772</v>
      </c>
      <c r="U6" s="47">
        <v>-185506</v>
      </c>
      <c r="V6" s="47">
        <v>-196311</v>
      </c>
      <c r="W6" s="47">
        <v>-111331</v>
      </c>
      <c r="X6" s="47">
        <v>-489848</v>
      </c>
      <c r="Y6" s="47">
        <v>-114378</v>
      </c>
      <c r="Z6" s="47">
        <v>-132631</v>
      </c>
      <c r="AA6" s="47">
        <v>-181624</v>
      </c>
      <c r="AB6" s="47">
        <v>-196882</v>
      </c>
      <c r="AC6" s="47">
        <v>-222431</v>
      </c>
      <c r="AD6" s="47">
        <v>-100707</v>
      </c>
      <c r="AE6" s="47">
        <v>-105479</v>
      </c>
      <c r="AF6" s="47">
        <v>-161415</v>
      </c>
    </row>
    <row r="7" spans="1:32" s="7" customFormat="1" ht="23.4" thickBot="1">
      <c r="A7" s="6" t="s">
        <v>278</v>
      </c>
      <c r="B7" s="48" t="s">
        <v>115</v>
      </c>
      <c r="C7" s="49">
        <v>0</v>
      </c>
      <c r="D7" s="49">
        <v>0</v>
      </c>
      <c r="E7" s="49">
        <v>0</v>
      </c>
      <c r="F7" s="49">
        <v>-7981</v>
      </c>
      <c r="G7" s="49">
        <v>-6974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16921</v>
      </c>
      <c r="O7" s="49" t="s">
        <v>100</v>
      </c>
      <c r="P7" s="49" t="s">
        <v>100</v>
      </c>
      <c r="Q7" s="49" t="s">
        <v>100</v>
      </c>
      <c r="R7" s="49" t="s">
        <v>100</v>
      </c>
      <c r="S7" s="49" t="s">
        <v>100</v>
      </c>
      <c r="T7" s="49" t="s">
        <v>100</v>
      </c>
      <c r="U7" s="49" t="s">
        <v>100</v>
      </c>
      <c r="V7" s="49" t="s">
        <v>100</v>
      </c>
      <c r="W7" s="49" t="s">
        <v>100</v>
      </c>
      <c r="X7" s="49" t="s">
        <v>100</v>
      </c>
      <c r="Y7" s="49" t="s">
        <v>100</v>
      </c>
      <c r="Z7" s="49" t="s">
        <v>100</v>
      </c>
      <c r="AA7" s="49" t="s">
        <v>100</v>
      </c>
      <c r="AB7" s="49" t="s">
        <v>100</v>
      </c>
      <c r="AC7" s="49" t="s">
        <v>100</v>
      </c>
      <c r="AD7" s="49" t="s">
        <v>100</v>
      </c>
      <c r="AE7" s="49" t="s">
        <v>100</v>
      </c>
      <c r="AF7" s="49" t="s">
        <v>100</v>
      </c>
    </row>
    <row r="8" spans="1:32" s="7" customFormat="1" ht="13.8" thickBot="1">
      <c r="A8" s="6" t="s">
        <v>159</v>
      </c>
      <c r="B8" s="48" t="s">
        <v>40</v>
      </c>
      <c r="C8" s="49" t="s">
        <v>100</v>
      </c>
      <c r="D8" s="49" t="s">
        <v>100</v>
      </c>
      <c r="E8" s="49" t="s">
        <v>100</v>
      </c>
      <c r="F8" s="49" t="s">
        <v>100</v>
      </c>
      <c r="G8" s="49" t="s">
        <v>100</v>
      </c>
      <c r="H8" s="49" t="s">
        <v>100</v>
      </c>
      <c r="I8" s="49" t="s">
        <v>100</v>
      </c>
      <c r="J8" s="49" t="s">
        <v>100</v>
      </c>
      <c r="K8" s="49" t="s">
        <v>100</v>
      </c>
      <c r="L8" s="49" t="s">
        <v>100</v>
      </c>
      <c r="M8" s="49" t="s">
        <v>100</v>
      </c>
      <c r="N8" s="49" t="s">
        <v>100</v>
      </c>
      <c r="O8" s="49">
        <v>532</v>
      </c>
      <c r="P8" s="49">
        <v>2962</v>
      </c>
      <c r="Q8" s="49">
        <v>25</v>
      </c>
      <c r="R8" s="49">
        <v>-699</v>
      </c>
      <c r="S8" s="49">
        <v>3538</v>
      </c>
      <c r="T8" s="49">
        <v>379</v>
      </c>
      <c r="U8" s="49">
        <v>346</v>
      </c>
      <c r="V8" s="49">
        <v>-1316</v>
      </c>
      <c r="W8" s="49">
        <v>-1582</v>
      </c>
      <c r="X8" s="49">
        <v>-8762</v>
      </c>
      <c r="Y8" s="49">
        <v>312</v>
      </c>
      <c r="Z8" s="49">
        <v>1340</v>
      </c>
      <c r="AA8" s="49">
        <v>-381</v>
      </c>
      <c r="AB8" s="49">
        <v>398</v>
      </c>
      <c r="AC8" s="49">
        <v>-5281</v>
      </c>
      <c r="AD8" s="49">
        <v>-4246</v>
      </c>
      <c r="AE8" s="49">
        <v>299</v>
      </c>
      <c r="AF8" s="49">
        <v>88</v>
      </c>
    </row>
    <row r="9" spans="1:32" s="36" customFormat="1" ht="23.4" thickBot="1">
      <c r="A9" s="6" t="s">
        <v>279</v>
      </c>
      <c r="B9" s="50" t="s">
        <v>114</v>
      </c>
      <c r="C9" s="51">
        <v>-2303</v>
      </c>
      <c r="D9" s="51">
        <v>16296</v>
      </c>
      <c r="E9" s="51">
        <v>-13084</v>
      </c>
      <c r="F9" s="51">
        <v>-2976</v>
      </c>
      <c r="G9" s="51">
        <v>890</v>
      </c>
      <c r="H9" s="51">
        <v>-9566</v>
      </c>
      <c r="I9" s="51">
        <v>-8887</v>
      </c>
      <c r="J9" s="51">
        <v>-18845</v>
      </c>
      <c r="K9" s="51">
        <v>-17267</v>
      </c>
      <c r="L9" s="51">
        <v>105</v>
      </c>
      <c r="M9" s="51">
        <v>-13343</v>
      </c>
      <c r="N9" s="51">
        <v>3947</v>
      </c>
      <c r="O9" s="51" t="s">
        <v>100</v>
      </c>
      <c r="P9" s="51" t="s">
        <v>100</v>
      </c>
      <c r="Q9" s="51" t="s">
        <v>100</v>
      </c>
      <c r="R9" s="51" t="s">
        <v>100</v>
      </c>
      <c r="S9" s="51" t="s">
        <v>100</v>
      </c>
      <c r="T9" s="51" t="s">
        <v>100</v>
      </c>
      <c r="U9" s="51" t="s">
        <v>100</v>
      </c>
      <c r="V9" s="51" t="s">
        <v>100</v>
      </c>
      <c r="W9" s="51" t="s">
        <v>100</v>
      </c>
      <c r="X9" s="51" t="s">
        <v>100</v>
      </c>
      <c r="Y9" s="51" t="s">
        <v>100</v>
      </c>
      <c r="Z9" s="51" t="s">
        <v>100</v>
      </c>
      <c r="AA9" s="51" t="s">
        <v>100</v>
      </c>
      <c r="AB9" s="51" t="s">
        <v>100</v>
      </c>
      <c r="AC9" s="51" t="s">
        <v>100</v>
      </c>
      <c r="AD9" s="51" t="s">
        <v>100</v>
      </c>
      <c r="AE9" s="51" t="s">
        <v>100</v>
      </c>
      <c r="AF9" s="51" t="s">
        <v>100</v>
      </c>
    </row>
    <row r="10" spans="1:32" s="7" customFormat="1" ht="13.8" thickBot="1">
      <c r="A10" s="6" t="s">
        <v>268</v>
      </c>
      <c r="B10" s="46" t="s">
        <v>107</v>
      </c>
      <c r="C10" s="47">
        <v>-1177</v>
      </c>
      <c r="D10" s="47">
        <v>14759</v>
      </c>
      <c r="E10" s="47">
        <v>-13331</v>
      </c>
      <c r="F10" s="47">
        <v>-1934</v>
      </c>
      <c r="G10" s="47">
        <v>-2229</v>
      </c>
      <c r="H10" s="47">
        <v>-11410</v>
      </c>
      <c r="I10" s="47">
        <v>1116</v>
      </c>
      <c r="J10" s="47">
        <v>2106</v>
      </c>
      <c r="K10" s="47">
        <v>-5437</v>
      </c>
      <c r="L10" s="47">
        <v>33565</v>
      </c>
      <c r="M10" s="47">
        <v>1600</v>
      </c>
      <c r="N10" s="47">
        <v>-32521</v>
      </c>
      <c r="O10" s="47" t="s">
        <v>100</v>
      </c>
      <c r="P10" s="47" t="s">
        <v>100</v>
      </c>
      <c r="Q10" s="47" t="s">
        <v>100</v>
      </c>
      <c r="R10" s="47" t="s">
        <v>100</v>
      </c>
      <c r="S10" s="47" t="s">
        <v>100</v>
      </c>
      <c r="T10" s="47" t="s">
        <v>100</v>
      </c>
      <c r="U10" s="47" t="s">
        <v>100</v>
      </c>
      <c r="V10" s="47" t="s">
        <v>100</v>
      </c>
      <c r="W10" s="47" t="s">
        <v>100</v>
      </c>
      <c r="X10" s="47" t="s">
        <v>100</v>
      </c>
      <c r="Y10" s="47" t="s">
        <v>100</v>
      </c>
      <c r="Z10" s="47" t="s">
        <v>100</v>
      </c>
      <c r="AA10" s="47" t="s">
        <v>100</v>
      </c>
      <c r="AB10" s="47" t="s">
        <v>100</v>
      </c>
      <c r="AC10" s="47" t="s">
        <v>100</v>
      </c>
      <c r="AD10" s="47" t="s">
        <v>100</v>
      </c>
      <c r="AE10" s="47" t="s">
        <v>100</v>
      </c>
      <c r="AF10" s="47" t="s">
        <v>100</v>
      </c>
    </row>
    <row r="11" spans="1:32" s="7" customFormat="1" ht="13.8" thickBot="1">
      <c r="A11" s="6" t="s">
        <v>269</v>
      </c>
      <c r="B11" s="46" t="s">
        <v>108</v>
      </c>
      <c r="C11" s="47">
        <v>-1126</v>
      </c>
      <c r="D11" s="47">
        <v>1537</v>
      </c>
      <c r="E11" s="47">
        <v>247</v>
      </c>
      <c r="F11" s="47">
        <v>-1042</v>
      </c>
      <c r="G11" s="47">
        <v>3119</v>
      </c>
      <c r="H11" s="47">
        <v>1844</v>
      </c>
      <c r="I11" s="47">
        <v>-10003</v>
      </c>
      <c r="J11" s="47">
        <v>-20951</v>
      </c>
      <c r="K11" s="47">
        <v>-11830</v>
      </c>
      <c r="L11" s="47">
        <v>-33460</v>
      </c>
      <c r="M11" s="47">
        <v>-14943</v>
      </c>
      <c r="N11" s="47">
        <v>36468</v>
      </c>
      <c r="O11" s="47" t="s">
        <v>100</v>
      </c>
      <c r="P11" s="47" t="s">
        <v>100</v>
      </c>
      <c r="Q11" s="47" t="s">
        <v>100</v>
      </c>
      <c r="R11" s="47" t="s">
        <v>100</v>
      </c>
      <c r="S11" s="47" t="s">
        <v>100</v>
      </c>
      <c r="T11" s="47" t="s">
        <v>100</v>
      </c>
      <c r="U11" s="47" t="s">
        <v>100</v>
      </c>
      <c r="V11" s="47" t="s">
        <v>100</v>
      </c>
      <c r="W11" s="47" t="s">
        <v>100</v>
      </c>
      <c r="X11" s="47" t="s">
        <v>100</v>
      </c>
      <c r="Y11" s="47" t="s">
        <v>100</v>
      </c>
      <c r="Z11" s="47" t="s">
        <v>100</v>
      </c>
      <c r="AA11" s="47" t="s">
        <v>100</v>
      </c>
      <c r="AB11" s="47" t="s">
        <v>100</v>
      </c>
      <c r="AC11" s="47" t="s">
        <v>100</v>
      </c>
      <c r="AD11" s="47" t="s">
        <v>100</v>
      </c>
      <c r="AE11" s="47" t="s">
        <v>100</v>
      </c>
      <c r="AF11" s="47" t="s">
        <v>100</v>
      </c>
    </row>
    <row r="12" spans="1:32" s="7" customFormat="1" ht="13.8" thickBot="1">
      <c r="A12" s="6" t="s">
        <v>270</v>
      </c>
      <c r="B12" s="52" t="s">
        <v>105</v>
      </c>
      <c r="C12" s="53" t="s">
        <v>100</v>
      </c>
      <c r="D12" s="53" t="s">
        <v>100</v>
      </c>
      <c r="E12" s="53" t="s">
        <v>100</v>
      </c>
      <c r="F12" s="53" t="s">
        <v>100</v>
      </c>
      <c r="G12" s="53" t="s">
        <v>100</v>
      </c>
      <c r="H12" s="53" t="s">
        <v>100</v>
      </c>
      <c r="I12" s="53" t="s">
        <v>100</v>
      </c>
      <c r="J12" s="53" t="s">
        <v>100</v>
      </c>
      <c r="K12" s="53" t="s">
        <v>100</v>
      </c>
      <c r="L12" s="53" t="s">
        <v>100</v>
      </c>
      <c r="M12" s="53" t="s">
        <v>100</v>
      </c>
      <c r="N12" s="53" t="s">
        <v>100</v>
      </c>
      <c r="O12" s="53">
        <v>20321</v>
      </c>
      <c r="P12" s="53">
        <v>30927</v>
      </c>
      <c r="Q12" s="53">
        <v>39266</v>
      </c>
      <c r="R12" s="53">
        <v>32500</v>
      </c>
      <c r="S12" s="53">
        <v>29925</v>
      </c>
      <c r="T12" s="53">
        <v>62</v>
      </c>
      <c r="U12" s="53">
        <f>U13+U16</f>
        <v>29450</v>
      </c>
      <c r="V12" s="53">
        <v>16653</v>
      </c>
      <c r="W12" s="53">
        <f>W13+W16</f>
        <v>-13704</v>
      </c>
      <c r="X12" s="53">
        <f>X13+X16</f>
        <v>-74912</v>
      </c>
      <c r="Y12" s="53">
        <v>-54159</v>
      </c>
      <c r="Z12" s="53">
        <f t="shared" ref="Z12:AE12" si="3">Z13+Z16</f>
        <v>51114</v>
      </c>
      <c r="AA12" s="53">
        <f t="shared" si="3"/>
        <v>129991</v>
      </c>
      <c r="AB12" s="53">
        <f t="shared" si="3"/>
        <v>161</v>
      </c>
      <c r="AC12" s="53">
        <f t="shared" si="3"/>
        <v>36236</v>
      </c>
      <c r="AD12" s="53">
        <f t="shared" si="3"/>
        <v>-77578</v>
      </c>
      <c r="AE12" s="53">
        <f t="shared" si="3"/>
        <v>-9208</v>
      </c>
      <c r="AF12" s="53">
        <f t="shared" ref="AF12" si="4">AF13+AF16</f>
        <v>-5128</v>
      </c>
    </row>
    <row r="13" spans="1:32" s="7" customFormat="1" ht="13.8" thickBot="1">
      <c r="A13" s="6" t="s">
        <v>272</v>
      </c>
      <c r="B13" s="44" t="s">
        <v>106</v>
      </c>
      <c r="C13" s="45" t="s">
        <v>100</v>
      </c>
      <c r="D13" s="45" t="s">
        <v>100</v>
      </c>
      <c r="E13" s="45" t="s">
        <v>100</v>
      </c>
      <c r="F13" s="45" t="s">
        <v>100</v>
      </c>
      <c r="G13" s="45" t="s">
        <v>100</v>
      </c>
      <c r="H13" s="45" t="s">
        <v>100</v>
      </c>
      <c r="I13" s="45" t="s">
        <v>100</v>
      </c>
      <c r="J13" s="45" t="s">
        <v>100</v>
      </c>
      <c r="K13" s="45" t="s">
        <v>100</v>
      </c>
      <c r="L13" s="45" t="s">
        <v>100</v>
      </c>
      <c r="M13" s="45" t="s">
        <v>100</v>
      </c>
      <c r="N13" s="45" t="s">
        <v>100</v>
      </c>
      <c r="O13" s="45">
        <v>-3965</v>
      </c>
      <c r="P13" s="45">
        <v>28307</v>
      </c>
      <c r="Q13" s="45">
        <v>32975</v>
      </c>
      <c r="R13" s="45">
        <v>4856</v>
      </c>
      <c r="S13" s="45">
        <v>-2078</v>
      </c>
      <c r="T13" s="45">
        <v>27451</v>
      </c>
      <c r="U13" s="45">
        <f>U14+U15</f>
        <v>23011</v>
      </c>
      <c r="V13" s="45">
        <v>10027</v>
      </c>
      <c r="W13" s="45">
        <f>SUM(W14:W15)</f>
        <v>2023</v>
      </c>
      <c r="X13" s="45">
        <f>SUM(X14:X15)</f>
        <v>-91077</v>
      </c>
      <c r="Y13" s="45">
        <v>-18590</v>
      </c>
      <c r="Z13" s="45">
        <f t="shared" ref="Z13:AE13" si="5">SUM(Z14:Z15)</f>
        <v>40034</v>
      </c>
      <c r="AA13" s="45">
        <f t="shared" si="5"/>
        <v>97755</v>
      </c>
      <c r="AB13" s="45">
        <f t="shared" si="5"/>
        <v>9033</v>
      </c>
      <c r="AC13" s="45">
        <f t="shared" si="5"/>
        <v>27823</v>
      </c>
      <c r="AD13" s="45">
        <f t="shared" si="5"/>
        <v>-93795</v>
      </c>
      <c r="AE13" s="45">
        <f t="shared" si="5"/>
        <v>-13743</v>
      </c>
      <c r="AF13" s="45">
        <f t="shared" ref="AF13" si="6">SUM(AF14:AF15)</f>
        <v>-10872</v>
      </c>
    </row>
    <row r="14" spans="1:32" s="7" customFormat="1" ht="13.8" thickBot="1">
      <c r="A14" s="6" t="s">
        <v>268</v>
      </c>
      <c r="B14" s="46" t="s">
        <v>107</v>
      </c>
      <c r="C14" s="47" t="s">
        <v>100</v>
      </c>
      <c r="D14" s="47" t="s">
        <v>100</v>
      </c>
      <c r="E14" s="47" t="s">
        <v>100</v>
      </c>
      <c r="F14" s="47" t="s">
        <v>100</v>
      </c>
      <c r="G14" s="47" t="s">
        <v>100</v>
      </c>
      <c r="H14" s="47" t="s">
        <v>100</v>
      </c>
      <c r="I14" s="47" t="s">
        <v>100</v>
      </c>
      <c r="J14" s="47" t="s">
        <v>100</v>
      </c>
      <c r="K14" s="47" t="s">
        <v>100</v>
      </c>
      <c r="L14" s="47" t="s">
        <v>100</v>
      </c>
      <c r="M14" s="47" t="s">
        <v>100</v>
      </c>
      <c r="N14" s="47" t="s">
        <v>100</v>
      </c>
      <c r="O14" s="47">
        <v>6413</v>
      </c>
      <c r="P14" s="47">
        <v>-445</v>
      </c>
      <c r="Q14" s="47">
        <v>38129</v>
      </c>
      <c r="R14" s="47">
        <v>39410</v>
      </c>
      <c r="S14" s="47">
        <v>2967</v>
      </c>
      <c r="T14" s="47">
        <v>21392</v>
      </c>
      <c r="U14" s="47">
        <v>18343</v>
      </c>
      <c r="V14" s="47">
        <v>28042</v>
      </c>
      <c r="W14" s="47">
        <v>14009</v>
      </c>
      <c r="X14" s="47">
        <v>-10527</v>
      </c>
      <c r="Y14" s="47">
        <v>-12834</v>
      </c>
      <c r="Z14" s="47">
        <v>28669</v>
      </c>
      <c r="AA14" s="47">
        <v>64779</v>
      </c>
      <c r="AB14" s="47">
        <v>1208</v>
      </c>
      <c r="AC14" s="47">
        <v>-4020</v>
      </c>
      <c r="AD14" s="47">
        <v>34408</v>
      </c>
      <c r="AE14" s="47">
        <v>-8044</v>
      </c>
      <c r="AF14" s="47">
        <v>-24064</v>
      </c>
    </row>
    <row r="15" spans="1:32" s="7" customFormat="1" ht="13.8" thickBot="1">
      <c r="A15" s="6" t="s">
        <v>271</v>
      </c>
      <c r="B15" s="46" t="s">
        <v>108</v>
      </c>
      <c r="C15" s="47" t="s">
        <v>100</v>
      </c>
      <c r="D15" s="47" t="s">
        <v>100</v>
      </c>
      <c r="E15" s="47" t="s">
        <v>100</v>
      </c>
      <c r="F15" s="47" t="s">
        <v>100</v>
      </c>
      <c r="G15" s="47" t="s">
        <v>100</v>
      </c>
      <c r="H15" s="47" t="s">
        <v>100</v>
      </c>
      <c r="I15" s="47" t="s">
        <v>100</v>
      </c>
      <c r="J15" s="47" t="s">
        <v>100</v>
      </c>
      <c r="K15" s="47" t="s">
        <v>100</v>
      </c>
      <c r="L15" s="47" t="s">
        <v>100</v>
      </c>
      <c r="M15" s="47" t="s">
        <v>100</v>
      </c>
      <c r="N15" s="47" t="s">
        <v>100</v>
      </c>
      <c r="O15" s="47">
        <v>-10378</v>
      </c>
      <c r="P15" s="47">
        <v>28752</v>
      </c>
      <c r="Q15" s="47">
        <v>-5154</v>
      </c>
      <c r="R15" s="47">
        <v>-34554</v>
      </c>
      <c r="S15" s="47">
        <v>-5045</v>
      </c>
      <c r="T15" s="47">
        <v>6059</v>
      </c>
      <c r="U15" s="47">
        <v>4668</v>
      </c>
      <c r="V15" s="47">
        <v>-18015</v>
      </c>
      <c r="W15" s="47">
        <v>-11986</v>
      </c>
      <c r="X15" s="47">
        <v>-80550</v>
      </c>
      <c r="Y15" s="47">
        <v>-5756</v>
      </c>
      <c r="Z15" s="47">
        <v>11365</v>
      </c>
      <c r="AA15" s="47">
        <v>32976</v>
      </c>
      <c r="AB15" s="47">
        <v>7825</v>
      </c>
      <c r="AC15" s="47">
        <v>31843</v>
      </c>
      <c r="AD15" s="47">
        <v>-128203</v>
      </c>
      <c r="AE15" s="47">
        <v>-5699</v>
      </c>
      <c r="AF15" s="47">
        <v>13192</v>
      </c>
    </row>
    <row r="16" spans="1:32" s="7" customFormat="1" ht="13.8" thickBot="1">
      <c r="A16" s="6" t="s">
        <v>337</v>
      </c>
      <c r="B16" s="44" t="s">
        <v>109</v>
      </c>
      <c r="C16" s="45" t="s">
        <v>100</v>
      </c>
      <c r="D16" s="45" t="s">
        <v>100</v>
      </c>
      <c r="E16" s="45" t="s">
        <v>100</v>
      </c>
      <c r="F16" s="45" t="s">
        <v>100</v>
      </c>
      <c r="G16" s="45" t="s">
        <v>100</v>
      </c>
      <c r="H16" s="45" t="s">
        <v>100</v>
      </c>
      <c r="I16" s="45" t="s">
        <v>100</v>
      </c>
      <c r="J16" s="45" t="s">
        <v>100</v>
      </c>
      <c r="K16" s="45" t="s">
        <v>100</v>
      </c>
      <c r="L16" s="45" t="s">
        <v>100</v>
      </c>
      <c r="M16" s="45" t="s">
        <v>100</v>
      </c>
      <c r="N16" s="45" t="s">
        <v>100</v>
      </c>
      <c r="O16" s="45">
        <v>24286</v>
      </c>
      <c r="P16" s="45">
        <v>2620</v>
      </c>
      <c r="Q16" s="45">
        <v>6291</v>
      </c>
      <c r="R16" s="45">
        <v>27644</v>
      </c>
      <c r="S16" s="45">
        <v>32003</v>
      </c>
      <c r="T16" s="45">
        <v>-27389</v>
      </c>
      <c r="U16" s="45">
        <f>U17+U18</f>
        <v>6439</v>
      </c>
      <c r="V16" s="45">
        <v>6626</v>
      </c>
      <c r="W16" s="45">
        <f>SUM(W17:W18)</f>
        <v>-15727</v>
      </c>
      <c r="X16" s="45">
        <f>SUM(X17:X18)</f>
        <v>16165</v>
      </c>
      <c r="Y16" s="45">
        <v>-35569</v>
      </c>
      <c r="Z16" s="45">
        <f t="shared" ref="Z16:AE16" si="7">SUM(Z17:Z18)</f>
        <v>11080</v>
      </c>
      <c r="AA16" s="45">
        <f t="shared" si="7"/>
        <v>32236</v>
      </c>
      <c r="AB16" s="45">
        <f t="shared" si="7"/>
        <v>-8872</v>
      </c>
      <c r="AC16" s="45">
        <f t="shared" si="7"/>
        <v>8413</v>
      </c>
      <c r="AD16" s="45">
        <f t="shared" si="7"/>
        <v>16217</v>
      </c>
      <c r="AE16" s="45">
        <f t="shared" si="7"/>
        <v>4535</v>
      </c>
      <c r="AF16" s="45">
        <f t="shared" ref="AF16" si="8">SUM(AF17:AF18)</f>
        <v>5744</v>
      </c>
    </row>
    <row r="17" spans="1:32" s="7" customFormat="1" ht="13.8" thickBot="1">
      <c r="A17" s="6" t="s">
        <v>268</v>
      </c>
      <c r="B17" s="46" t="s">
        <v>107</v>
      </c>
      <c r="C17" s="47" t="s">
        <v>100</v>
      </c>
      <c r="D17" s="47" t="s">
        <v>100</v>
      </c>
      <c r="E17" s="47" t="s">
        <v>100</v>
      </c>
      <c r="F17" s="47" t="s">
        <v>100</v>
      </c>
      <c r="G17" s="47" t="s">
        <v>100</v>
      </c>
      <c r="H17" s="47" t="s">
        <v>100</v>
      </c>
      <c r="I17" s="47" t="s">
        <v>100</v>
      </c>
      <c r="J17" s="47" t="s">
        <v>100</v>
      </c>
      <c r="K17" s="47" t="s">
        <v>100</v>
      </c>
      <c r="L17" s="47" t="s">
        <v>100</v>
      </c>
      <c r="M17" s="47" t="s">
        <v>100</v>
      </c>
      <c r="N17" s="47" t="s">
        <v>100</v>
      </c>
      <c r="O17" s="47">
        <v>7806</v>
      </c>
      <c r="P17" s="47">
        <v>881</v>
      </c>
      <c r="Q17" s="47">
        <v>-7947</v>
      </c>
      <c r="R17" s="47">
        <v>27962</v>
      </c>
      <c r="S17" s="47">
        <v>25333</v>
      </c>
      <c r="T17" s="47">
        <v>-11388</v>
      </c>
      <c r="U17" s="47">
        <v>2920</v>
      </c>
      <c r="V17" s="47">
        <v>-19717</v>
      </c>
      <c r="W17" s="47">
        <v>-10858</v>
      </c>
      <c r="X17" s="47">
        <v>-23908</v>
      </c>
      <c r="Y17" s="47">
        <v>-25763</v>
      </c>
      <c r="Z17" s="47">
        <v>1992</v>
      </c>
      <c r="AA17" s="47">
        <v>30729</v>
      </c>
      <c r="AB17" s="47">
        <v>-3025</v>
      </c>
      <c r="AC17" s="47">
        <v>-14453</v>
      </c>
      <c r="AD17" s="47">
        <v>-9528</v>
      </c>
      <c r="AE17" s="47">
        <v>1518</v>
      </c>
      <c r="AF17" s="47">
        <v>6668</v>
      </c>
    </row>
    <row r="18" spans="1:32" s="7" customFormat="1" ht="13.8" thickBot="1">
      <c r="A18" s="6" t="s">
        <v>271</v>
      </c>
      <c r="B18" s="46" t="s">
        <v>108</v>
      </c>
      <c r="C18" s="47" t="s">
        <v>100</v>
      </c>
      <c r="D18" s="47" t="s">
        <v>100</v>
      </c>
      <c r="E18" s="47" t="s">
        <v>100</v>
      </c>
      <c r="F18" s="47" t="s">
        <v>100</v>
      </c>
      <c r="G18" s="47" t="s">
        <v>100</v>
      </c>
      <c r="H18" s="47" t="s">
        <v>100</v>
      </c>
      <c r="I18" s="47" t="s">
        <v>100</v>
      </c>
      <c r="J18" s="47" t="s">
        <v>100</v>
      </c>
      <c r="K18" s="47" t="s">
        <v>100</v>
      </c>
      <c r="L18" s="47" t="s">
        <v>100</v>
      </c>
      <c r="M18" s="47" t="s">
        <v>100</v>
      </c>
      <c r="N18" s="47" t="s">
        <v>100</v>
      </c>
      <c r="O18" s="47">
        <v>16480</v>
      </c>
      <c r="P18" s="47">
        <v>1739</v>
      </c>
      <c r="Q18" s="47">
        <v>14238</v>
      </c>
      <c r="R18" s="47">
        <v>-318</v>
      </c>
      <c r="S18" s="47">
        <v>6670</v>
      </c>
      <c r="T18" s="47">
        <v>-16001</v>
      </c>
      <c r="U18" s="47">
        <v>3519</v>
      </c>
      <c r="V18" s="47">
        <v>26343</v>
      </c>
      <c r="W18" s="47">
        <v>-4869</v>
      </c>
      <c r="X18" s="47">
        <v>40073</v>
      </c>
      <c r="Y18" s="47">
        <v>-9806</v>
      </c>
      <c r="Z18" s="47">
        <v>9088</v>
      </c>
      <c r="AA18" s="47">
        <v>1507</v>
      </c>
      <c r="AB18" s="47">
        <v>-5847</v>
      </c>
      <c r="AC18" s="47">
        <v>22866</v>
      </c>
      <c r="AD18" s="47">
        <v>25745</v>
      </c>
      <c r="AE18" s="47">
        <v>3017</v>
      </c>
      <c r="AF18" s="47">
        <v>-924</v>
      </c>
    </row>
    <row r="19" spans="1:32" s="7" customFormat="1" ht="13.8" thickBot="1">
      <c r="A19" s="6" t="s">
        <v>110</v>
      </c>
      <c r="B19" s="48" t="s">
        <v>110</v>
      </c>
      <c r="C19" s="45" t="s">
        <v>100</v>
      </c>
      <c r="D19" s="45" t="s">
        <v>100</v>
      </c>
      <c r="E19" s="45" t="s">
        <v>100</v>
      </c>
      <c r="F19" s="45" t="s">
        <v>100</v>
      </c>
      <c r="G19" s="45" t="s">
        <v>100</v>
      </c>
      <c r="H19" s="45" t="s">
        <v>100</v>
      </c>
      <c r="I19" s="45" t="s">
        <v>100</v>
      </c>
      <c r="J19" s="45" t="s">
        <v>100</v>
      </c>
      <c r="K19" s="45" t="s">
        <v>100</v>
      </c>
      <c r="L19" s="45" t="s">
        <v>100</v>
      </c>
      <c r="M19" s="45" t="s">
        <v>100</v>
      </c>
      <c r="N19" s="45" t="s">
        <v>100</v>
      </c>
      <c r="O19" s="45">
        <v>-9834</v>
      </c>
      <c r="P19" s="45">
        <v>-15957</v>
      </c>
      <c r="Q19" s="45">
        <v>-17721</v>
      </c>
      <c r="R19" s="45">
        <v>-12247</v>
      </c>
      <c r="S19" s="45">
        <v>-17598</v>
      </c>
      <c r="T19" s="45">
        <v>-10122</v>
      </c>
      <c r="U19" s="45">
        <v>-19712</v>
      </c>
      <c r="V19" s="45">
        <v>-8950</v>
      </c>
      <c r="W19" s="45">
        <v>-6287</v>
      </c>
      <c r="X19" s="45">
        <v>-5477</v>
      </c>
      <c r="Y19" s="45">
        <v>-7455</v>
      </c>
      <c r="Z19" s="45">
        <v>1387</v>
      </c>
      <c r="AA19" s="45">
        <v>3205</v>
      </c>
      <c r="AB19" s="45">
        <v>-3537</v>
      </c>
      <c r="AC19" s="45">
        <v>-5801</v>
      </c>
      <c r="AD19" s="45">
        <v>-51363</v>
      </c>
      <c r="AE19" s="45">
        <v>-3078</v>
      </c>
      <c r="AF19" s="45">
        <v>-50</v>
      </c>
    </row>
    <row r="20" spans="1:32" s="7" customFormat="1" ht="13.8" thickBot="1">
      <c r="A20" s="6" t="s">
        <v>273</v>
      </c>
      <c r="B20" s="48" t="s">
        <v>111</v>
      </c>
      <c r="C20" s="45" t="s">
        <v>100</v>
      </c>
      <c r="D20" s="45" t="s">
        <v>100</v>
      </c>
      <c r="E20" s="45" t="s">
        <v>100</v>
      </c>
      <c r="F20" s="45" t="s">
        <v>100</v>
      </c>
      <c r="G20" s="45" t="s">
        <v>100</v>
      </c>
      <c r="H20" s="45" t="s">
        <v>100</v>
      </c>
      <c r="I20" s="45" t="s">
        <v>100</v>
      </c>
      <c r="J20" s="45" t="s">
        <v>100</v>
      </c>
      <c r="K20" s="45" t="s">
        <v>100</v>
      </c>
      <c r="L20" s="45" t="s">
        <v>100</v>
      </c>
      <c r="M20" s="45" t="s">
        <v>100</v>
      </c>
      <c r="N20" s="45">
        <v>14687</v>
      </c>
      <c r="O20" s="45">
        <v>13538</v>
      </c>
      <c r="P20" s="45">
        <v>15960</v>
      </c>
      <c r="Q20" s="45">
        <v>14455</v>
      </c>
      <c r="R20" s="45">
        <v>17297</v>
      </c>
      <c r="S20" s="45">
        <v>15154</v>
      </c>
      <c r="T20" s="45">
        <v>10270</v>
      </c>
      <c r="U20" s="45">
        <v>22458</v>
      </c>
      <c r="V20" s="45">
        <v>13020</v>
      </c>
      <c r="W20" s="45">
        <v>11690</v>
      </c>
      <c r="X20" s="45">
        <v>13272</v>
      </c>
      <c r="Y20" s="45">
        <v>10170</v>
      </c>
      <c r="Z20" s="45">
        <v>20529</v>
      </c>
      <c r="AA20" s="45">
        <v>19706</v>
      </c>
      <c r="AB20" s="45">
        <v>25742</v>
      </c>
      <c r="AC20" s="45">
        <v>13065</v>
      </c>
      <c r="AD20" s="45">
        <v>33069</v>
      </c>
      <c r="AE20" s="45">
        <v>17341</v>
      </c>
      <c r="AF20" s="45">
        <v>39300</v>
      </c>
    </row>
    <row r="21" spans="1:32" s="7" customFormat="1" ht="13.8" thickBot="1">
      <c r="A21" s="6" t="s">
        <v>274</v>
      </c>
      <c r="B21" s="48" t="s">
        <v>112</v>
      </c>
      <c r="C21" s="49">
        <v>-741</v>
      </c>
      <c r="D21" s="49">
        <v>1702</v>
      </c>
      <c r="E21" s="49">
        <v>-1452</v>
      </c>
      <c r="F21" s="49">
        <v>-69</v>
      </c>
      <c r="G21" s="49">
        <v>-4843</v>
      </c>
      <c r="H21" s="49">
        <v>3457</v>
      </c>
      <c r="I21" s="49">
        <v>-650</v>
      </c>
      <c r="J21" s="49">
        <v>-346</v>
      </c>
      <c r="K21" s="49">
        <v>1087</v>
      </c>
      <c r="L21" s="49">
        <v>-7719</v>
      </c>
      <c r="M21" s="49">
        <v>-4947</v>
      </c>
      <c r="N21" s="49">
        <v>5272</v>
      </c>
      <c r="O21" s="49">
        <v>22355</v>
      </c>
      <c r="P21" s="49">
        <v>-15379</v>
      </c>
      <c r="Q21" s="49">
        <v>-6599</v>
      </c>
      <c r="R21" s="49">
        <v>70571</v>
      </c>
      <c r="S21" s="49">
        <v>4904</v>
      </c>
      <c r="T21" s="49">
        <v>5592</v>
      </c>
      <c r="U21" s="49">
        <v>-1225</v>
      </c>
      <c r="V21" s="49">
        <v>-2485</v>
      </c>
      <c r="W21" s="49">
        <v>-21276</v>
      </c>
      <c r="X21" s="49">
        <v>-111905</v>
      </c>
      <c r="Y21" s="49">
        <v>5282</v>
      </c>
      <c r="Z21" s="45">
        <v>23959</v>
      </c>
      <c r="AA21" s="45">
        <v>-970</v>
      </c>
      <c r="AB21" s="45">
        <v>-755</v>
      </c>
      <c r="AC21" s="45">
        <v>14721</v>
      </c>
      <c r="AD21" s="45">
        <v>22411</v>
      </c>
      <c r="AE21" s="45">
        <v>-164</v>
      </c>
      <c r="AF21" s="45">
        <v>7999</v>
      </c>
    </row>
    <row r="22" spans="1:32" s="7" customFormat="1" ht="13.8" thickBot="1">
      <c r="A22" s="6" t="s">
        <v>275</v>
      </c>
      <c r="B22" s="48" t="s">
        <v>113</v>
      </c>
      <c r="C22" s="49">
        <v>-2201</v>
      </c>
      <c r="D22" s="49">
        <v>-5931</v>
      </c>
      <c r="E22" s="49">
        <v>470</v>
      </c>
      <c r="F22" s="49">
        <v>-4706</v>
      </c>
      <c r="G22" s="49">
        <v>-3452</v>
      </c>
      <c r="H22" s="49">
        <v>-8790</v>
      </c>
      <c r="I22" s="49">
        <v>-2369</v>
      </c>
      <c r="J22" s="49">
        <v>-8104</v>
      </c>
      <c r="K22" s="49">
        <v>-3621</v>
      </c>
      <c r="L22" s="49">
        <v>-7366</v>
      </c>
      <c r="M22" s="49">
        <v>-4606</v>
      </c>
      <c r="N22" s="49">
        <v>-10128</v>
      </c>
      <c r="O22" s="49">
        <v>-1756</v>
      </c>
      <c r="P22" s="49">
        <v>-477</v>
      </c>
      <c r="Q22" s="49">
        <v>-932</v>
      </c>
      <c r="R22" s="49">
        <v>-2985</v>
      </c>
      <c r="S22" s="49">
        <v>-1569</v>
      </c>
      <c r="T22" s="49">
        <v>-105</v>
      </c>
      <c r="U22" s="49">
        <v>-7</v>
      </c>
      <c r="V22" s="49">
        <v>-4190</v>
      </c>
      <c r="W22" s="49">
        <v>1307</v>
      </c>
      <c r="X22" s="49">
        <v>-69897</v>
      </c>
      <c r="Y22" s="49">
        <v>-1803</v>
      </c>
      <c r="Z22" s="45">
        <v>-62429</v>
      </c>
      <c r="AA22" s="45">
        <v>-502</v>
      </c>
      <c r="AB22" s="45">
        <v>-1399</v>
      </c>
      <c r="AC22" s="45">
        <v>-1330</v>
      </c>
      <c r="AD22" s="45">
        <v>-7248</v>
      </c>
      <c r="AE22" s="45">
        <v>-30901</v>
      </c>
      <c r="AF22" s="45">
        <v>-9322</v>
      </c>
    </row>
    <row r="23" spans="1:32" s="7" customFormat="1" ht="13.8" thickBot="1">
      <c r="A23" s="6" t="s">
        <v>276</v>
      </c>
      <c r="B23" s="48" t="s">
        <v>25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5">
        <v>0</v>
      </c>
      <c r="K23" s="49">
        <v>0</v>
      </c>
      <c r="L23" s="45">
        <v>0</v>
      </c>
      <c r="M23" s="49">
        <v>0</v>
      </c>
      <c r="N23" s="45">
        <v>0</v>
      </c>
      <c r="O23" s="49">
        <v>0</v>
      </c>
      <c r="P23" s="45">
        <v>0</v>
      </c>
      <c r="Q23" s="49">
        <v>-101</v>
      </c>
      <c r="R23" s="45">
        <v>0</v>
      </c>
      <c r="S23" s="49">
        <v>-75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1</v>
      </c>
      <c r="Z23" s="45">
        <v>-1</v>
      </c>
      <c r="AA23" s="45">
        <v>25</v>
      </c>
      <c r="AB23" s="45">
        <v>0</v>
      </c>
      <c r="AC23" s="45">
        <v>0</v>
      </c>
      <c r="AD23" s="45">
        <v>-28</v>
      </c>
      <c r="AE23" s="45">
        <v>0</v>
      </c>
      <c r="AF23" s="45">
        <v>0</v>
      </c>
    </row>
    <row r="24" spans="1:32" s="7" customFormat="1" ht="23.4" thickBot="1">
      <c r="A24" s="6" t="s">
        <v>277</v>
      </c>
      <c r="B24" s="42" t="s">
        <v>16</v>
      </c>
      <c r="C24" s="43">
        <v>-144656</v>
      </c>
      <c r="D24" s="43">
        <v>-159483</v>
      </c>
      <c r="E24" s="43">
        <v>-173087</v>
      </c>
      <c r="F24" s="43">
        <v>-194887</v>
      </c>
      <c r="G24" s="43">
        <v>-175745</v>
      </c>
      <c r="H24" s="43">
        <v>-173112</v>
      </c>
      <c r="I24" s="43">
        <v>-199006</v>
      </c>
      <c r="J24" s="43">
        <v>-252024</v>
      </c>
      <c r="K24" s="43">
        <v>-211616</v>
      </c>
      <c r="L24" s="43">
        <v>-256083</v>
      </c>
      <c r="M24" s="43">
        <v>-211959</v>
      </c>
      <c r="N24" s="43">
        <v>-235272</v>
      </c>
      <c r="O24" s="43">
        <v>-244748</v>
      </c>
      <c r="P24" s="43">
        <v>-238075</v>
      </c>
      <c r="Q24" s="43">
        <v>-273190</v>
      </c>
      <c r="R24" s="43">
        <v>-298056</v>
      </c>
      <c r="S24" s="43">
        <v>-274606</v>
      </c>
      <c r="T24" s="43">
        <v>-502645</v>
      </c>
      <c r="U24" s="43">
        <f>U3+U8+U12+U19+U20+U21+U22</f>
        <v>-324788</v>
      </c>
      <c r="V24" s="43">
        <v>-341065</v>
      </c>
      <c r="W24" s="43">
        <f t="shared" ref="W24:AB24" si="9">W3+W8+W12+W19+W20+W21+W22+W23</f>
        <v>-294846</v>
      </c>
      <c r="X24" s="43">
        <f t="shared" si="9"/>
        <v>-985043</v>
      </c>
      <c r="Y24" s="43">
        <f t="shared" si="9"/>
        <v>-291145</v>
      </c>
      <c r="Z24" s="43">
        <f t="shared" si="9"/>
        <v>-295259</v>
      </c>
      <c r="AA24" s="43">
        <f t="shared" si="9"/>
        <v>-243962</v>
      </c>
      <c r="AB24" s="43">
        <f t="shared" si="9"/>
        <v>-266379</v>
      </c>
      <c r="AC24" s="43">
        <f>AC3+AC8+AC12+AC19+AC20+AC21+AC22+AC23</f>
        <v>-253059</v>
      </c>
      <c r="AD24" s="43">
        <f>AD3+AD8+AD12+AD19+AD20+AD21+AD22+AD23</f>
        <v>-253745</v>
      </c>
      <c r="AE24" s="43">
        <f t="shared" ref="AE24:AF24" si="10">AE3+AE8+AE12+AE19+AE20+AE21+AE22+AE23</f>
        <v>-239457</v>
      </c>
      <c r="AF24" s="43">
        <f t="shared" si="10"/>
        <v>-239259</v>
      </c>
    </row>
    <row r="25" spans="1:32" ht="13.2">
      <c r="AA25" s="8"/>
      <c r="AB25" s="8"/>
      <c r="AC25" s="8"/>
      <c r="AD25" s="8"/>
      <c r="AE25" s="8"/>
      <c r="AF25" s="8"/>
    </row>
    <row r="26" spans="1:32" ht="12" thickBot="1">
      <c r="A26" s="4" t="s">
        <v>349</v>
      </c>
      <c r="B26" s="42" t="s">
        <v>348</v>
      </c>
      <c r="C26" s="43">
        <f t="shared" ref="C26:AB26" si="11">C24-C22-C23</f>
        <v>-142455</v>
      </c>
      <c r="D26" s="43">
        <f t="shared" si="11"/>
        <v>-153552</v>
      </c>
      <c r="E26" s="43">
        <f t="shared" si="11"/>
        <v>-173557</v>
      </c>
      <c r="F26" s="43">
        <f t="shared" si="11"/>
        <v>-190181</v>
      </c>
      <c r="G26" s="43">
        <f t="shared" si="11"/>
        <v>-172293</v>
      </c>
      <c r="H26" s="43">
        <f t="shared" si="11"/>
        <v>-164322</v>
      </c>
      <c r="I26" s="43">
        <f t="shared" si="11"/>
        <v>-196637</v>
      </c>
      <c r="J26" s="43">
        <f t="shared" si="11"/>
        <v>-243920</v>
      </c>
      <c r="K26" s="43">
        <f t="shared" si="11"/>
        <v>-207995</v>
      </c>
      <c r="L26" s="43">
        <f t="shared" si="11"/>
        <v>-248717</v>
      </c>
      <c r="M26" s="43">
        <f t="shared" si="11"/>
        <v>-207353</v>
      </c>
      <c r="N26" s="43">
        <f t="shared" si="11"/>
        <v>-225144</v>
      </c>
      <c r="O26" s="43">
        <f t="shared" si="11"/>
        <v>-242992</v>
      </c>
      <c r="P26" s="43">
        <f t="shared" si="11"/>
        <v>-237598</v>
      </c>
      <c r="Q26" s="43">
        <f t="shared" si="11"/>
        <v>-272157</v>
      </c>
      <c r="R26" s="43">
        <f t="shared" si="11"/>
        <v>-295071</v>
      </c>
      <c r="S26" s="43">
        <f t="shared" si="11"/>
        <v>-272962</v>
      </c>
      <c r="T26" s="43">
        <f t="shared" si="11"/>
        <v>-502540</v>
      </c>
      <c r="U26" s="43">
        <f t="shared" si="11"/>
        <v>-324781</v>
      </c>
      <c r="V26" s="43">
        <f t="shared" si="11"/>
        <v>-336875</v>
      </c>
      <c r="W26" s="43">
        <f t="shared" si="11"/>
        <v>-296153</v>
      </c>
      <c r="X26" s="43">
        <f t="shared" si="11"/>
        <v>-915146</v>
      </c>
      <c r="Y26" s="43">
        <f t="shared" si="11"/>
        <v>-289343</v>
      </c>
      <c r="Z26" s="43">
        <f t="shared" si="11"/>
        <v>-232829</v>
      </c>
      <c r="AA26" s="43">
        <f t="shared" si="11"/>
        <v>-243485</v>
      </c>
      <c r="AB26" s="43">
        <f t="shared" si="11"/>
        <v>-264980</v>
      </c>
      <c r="AC26" s="43">
        <f>AC24-AC22-AC23</f>
        <v>-251729</v>
      </c>
      <c r="AD26" s="43">
        <f>AD24-AD22-AD23</f>
        <v>-246469</v>
      </c>
      <c r="AE26" s="43">
        <f t="shared" ref="AE26:AF26" si="12">AE24-AE22-AE23</f>
        <v>-208556</v>
      </c>
      <c r="AF26" s="43">
        <f t="shared" si="12"/>
        <v>-229937</v>
      </c>
    </row>
    <row r="27" spans="1:32" ht="23.4" thickBot="1">
      <c r="A27" s="4" t="s">
        <v>350</v>
      </c>
      <c r="B27" s="42" t="s">
        <v>347</v>
      </c>
      <c r="C27" s="43">
        <f t="shared" ref="C27:AB27" si="13">C22+C23</f>
        <v>-2201</v>
      </c>
      <c r="D27" s="43">
        <f t="shared" si="13"/>
        <v>-5931</v>
      </c>
      <c r="E27" s="43">
        <f t="shared" si="13"/>
        <v>470</v>
      </c>
      <c r="F27" s="43">
        <f t="shared" si="13"/>
        <v>-4706</v>
      </c>
      <c r="G27" s="43">
        <f t="shared" si="13"/>
        <v>-3452</v>
      </c>
      <c r="H27" s="43">
        <f t="shared" si="13"/>
        <v>-8790</v>
      </c>
      <c r="I27" s="43">
        <f t="shared" si="13"/>
        <v>-2369</v>
      </c>
      <c r="J27" s="43">
        <f t="shared" si="13"/>
        <v>-8104</v>
      </c>
      <c r="K27" s="43">
        <f t="shared" si="13"/>
        <v>-3621</v>
      </c>
      <c r="L27" s="43">
        <f t="shared" si="13"/>
        <v>-7366</v>
      </c>
      <c r="M27" s="43">
        <f t="shared" si="13"/>
        <v>-4606</v>
      </c>
      <c r="N27" s="43">
        <f t="shared" si="13"/>
        <v>-10128</v>
      </c>
      <c r="O27" s="43">
        <f t="shared" si="13"/>
        <v>-1756</v>
      </c>
      <c r="P27" s="43">
        <f t="shared" si="13"/>
        <v>-477</v>
      </c>
      <c r="Q27" s="43">
        <f t="shared" si="13"/>
        <v>-1033</v>
      </c>
      <c r="R27" s="43">
        <f t="shared" si="13"/>
        <v>-2985</v>
      </c>
      <c r="S27" s="43">
        <f t="shared" si="13"/>
        <v>-1644</v>
      </c>
      <c r="T27" s="43">
        <f t="shared" si="13"/>
        <v>-105</v>
      </c>
      <c r="U27" s="43">
        <f t="shared" si="13"/>
        <v>-7</v>
      </c>
      <c r="V27" s="43">
        <f t="shared" si="13"/>
        <v>-4190</v>
      </c>
      <c r="W27" s="43">
        <f t="shared" si="13"/>
        <v>1307</v>
      </c>
      <c r="X27" s="43">
        <f t="shared" si="13"/>
        <v>-69897</v>
      </c>
      <c r="Y27" s="43">
        <f t="shared" si="13"/>
        <v>-1802</v>
      </c>
      <c r="Z27" s="43">
        <f t="shared" si="13"/>
        <v>-62430</v>
      </c>
      <c r="AA27" s="43">
        <f t="shared" si="13"/>
        <v>-477</v>
      </c>
      <c r="AB27" s="43">
        <f t="shared" si="13"/>
        <v>-1399</v>
      </c>
      <c r="AC27" s="43">
        <f>AC22+AC23</f>
        <v>-1330</v>
      </c>
      <c r="AD27" s="43">
        <f>AD22+AD23</f>
        <v>-7276</v>
      </c>
      <c r="AE27" s="43">
        <f t="shared" ref="AE27:AF27" si="14">AE22+AE23</f>
        <v>-30901</v>
      </c>
      <c r="AF27" s="43">
        <f t="shared" si="14"/>
        <v>-9322</v>
      </c>
    </row>
    <row r="28" spans="1:32" ht="13.2">
      <c r="AA28" s="8"/>
      <c r="AB28" s="8"/>
      <c r="AC28" s="8"/>
      <c r="AD28" s="8"/>
      <c r="AE28" s="8"/>
      <c r="AF28" s="8"/>
    </row>
    <row r="31" spans="1:32" ht="13.2">
      <c r="AA31" s="8"/>
      <c r="AB31" s="8"/>
      <c r="AC31" s="8"/>
      <c r="AD31" s="8"/>
      <c r="AE31" s="8"/>
      <c r="AF31" s="8"/>
    </row>
    <row r="32" spans="1:32" ht="13.2">
      <c r="AA32" s="8"/>
      <c r="AB32" s="8"/>
      <c r="AC32" s="8"/>
      <c r="AD32" s="8"/>
      <c r="AE32" s="8"/>
      <c r="AF32" s="8"/>
    </row>
    <row r="33" spans="27:32" ht="13.2">
      <c r="AA33" s="8"/>
      <c r="AB33" s="8"/>
      <c r="AC33" s="8"/>
      <c r="AD33" s="8"/>
      <c r="AE33" s="8"/>
      <c r="AF33" s="8"/>
    </row>
    <row r="34" spans="27:32" ht="13.2">
      <c r="AA34" s="8"/>
      <c r="AB34" s="8"/>
      <c r="AC34" s="8"/>
      <c r="AD34" s="8"/>
      <c r="AE34" s="8"/>
      <c r="AF34" s="8"/>
    </row>
    <row r="35" spans="27:32" ht="13.2">
      <c r="AA35" s="8"/>
      <c r="AB35" s="8"/>
      <c r="AC35" s="8"/>
      <c r="AD35" s="8"/>
      <c r="AE35" s="8"/>
      <c r="AF35" s="8"/>
    </row>
    <row r="36" spans="27:32" ht="13.2">
      <c r="AA36" s="8"/>
      <c r="AB36" s="8"/>
      <c r="AC36" s="8"/>
      <c r="AD36" s="8"/>
      <c r="AE36" s="8"/>
      <c r="AF36" s="8"/>
    </row>
    <row r="37" spans="27:32" ht="13.2">
      <c r="AA37" s="8"/>
      <c r="AB37" s="8"/>
      <c r="AC37" s="8"/>
      <c r="AD37" s="8"/>
      <c r="AE37" s="8"/>
      <c r="AF37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F19"/>
  <sheetViews>
    <sheetView zoomScale="110" zoomScaleNormal="110" workbookViewId="0">
      <pane xSplit="2" ySplit="2" topLeftCell="X3" activePane="bottomRight" state="frozen"/>
      <selection pane="topRight" activeCell="C1" sqref="C1"/>
      <selection pane="bottomLeft" activeCell="A3" sqref="A3"/>
      <selection pane="bottomRight" activeCell="AB30" sqref="AB30"/>
    </sheetView>
  </sheetViews>
  <sheetFormatPr defaultRowHeight="10.199999999999999"/>
  <cols>
    <col min="1" max="1" width="31.85546875" bestFit="1" customWidth="1"/>
    <col min="2" max="2" width="38.85546875" customWidth="1"/>
    <col min="3" max="14" width="8.85546875" bestFit="1" customWidth="1"/>
    <col min="15" max="25" width="9.28515625" bestFit="1" customWidth="1"/>
  </cols>
  <sheetData>
    <row r="1" spans="1:32" ht="10.8" thickBot="1">
      <c r="C1" s="111" t="s">
        <v>416</v>
      </c>
      <c r="D1" s="111" t="s">
        <v>417</v>
      </c>
      <c r="E1" s="111" t="s">
        <v>418</v>
      </c>
      <c r="F1" s="111" t="s">
        <v>419</v>
      </c>
      <c r="G1" s="111" t="s">
        <v>420</v>
      </c>
      <c r="H1" s="111" t="s">
        <v>421</v>
      </c>
      <c r="I1" s="111" t="s">
        <v>422</v>
      </c>
      <c r="J1" s="111" t="s">
        <v>423</v>
      </c>
      <c r="K1" s="111" t="s">
        <v>424</v>
      </c>
      <c r="L1" s="111" t="s">
        <v>425</v>
      </c>
      <c r="M1" s="111" t="s">
        <v>426</v>
      </c>
      <c r="N1" s="111" t="s">
        <v>427</v>
      </c>
      <c r="O1" s="111" t="s">
        <v>428</v>
      </c>
      <c r="P1" s="111" t="s">
        <v>429</v>
      </c>
      <c r="Q1" s="111" t="s">
        <v>430</v>
      </c>
      <c r="R1" s="111" t="s">
        <v>431</v>
      </c>
      <c r="S1" s="111" t="s">
        <v>432</v>
      </c>
      <c r="T1" s="111" t="s">
        <v>433</v>
      </c>
      <c r="U1" s="111" t="s">
        <v>434</v>
      </c>
      <c r="V1" s="111" t="s">
        <v>435</v>
      </c>
      <c r="W1" s="111" t="s">
        <v>436</v>
      </c>
      <c r="X1" s="111" t="s">
        <v>437</v>
      </c>
      <c r="Y1" s="111" t="s">
        <v>438</v>
      </c>
      <c r="Z1" s="111" t="s">
        <v>439</v>
      </c>
      <c r="AA1" s="111" t="s">
        <v>440</v>
      </c>
      <c r="AB1" s="111" t="s">
        <v>441</v>
      </c>
      <c r="AC1" s="111" t="s">
        <v>442</v>
      </c>
      <c r="AD1" s="111" t="s">
        <v>472</v>
      </c>
      <c r="AE1" s="111" t="s">
        <v>501</v>
      </c>
      <c r="AF1" s="111" t="s">
        <v>503</v>
      </c>
    </row>
    <row r="2" spans="1:32" s="6" customFormat="1" ht="23.4" thickBot="1">
      <c r="A2" s="6" t="s">
        <v>315</v>
      </c>
      <c r="B2" s="5" t="s">
        <v>155</v>
      </c>
      <c r="C2" s="111" t="s">
        <v>443</v>
      </c>
      <c r="D2" s="111" t="s">
        <v>444</v>
      </c>
      <c r="E2" s="111" t="s">
        <v>445</v>
      </c>
      <c r="F2" s="111" t="s">
        <v>446</v>
      </c>
      <c r="G2" s="111" t="s">
        <v>447</v>
      </c>
      <c r="H2" s="111" t="s">
        <v>448</v>
      </c>
      <c r="I2" s="111" t="s">
        <v>449</v>
      </c>
      <c r="J2" s="111" t="s">
        <v>450</v>
      </c>
      <c r="K2" s="111" t="s">
        <v>451</v>
      </c>
      <c r="L2" s="111" t="s">
        <v>452</v>
      </c>
      <c r="M2" s="111" t="s">
        <v>453</v>
      </c>
      <c r="N2" s="111" t="s">
        <v>454</v>
      </c>
      <c r="O2" s="111" t="s">
        <v>455</v>
      </c>
      <c r="P2" s="111" t="s">
        <v>456</v>
      </c>
      <c r="Q2" s="111" t="s">
        <v>457</v>
      </c>
      <c r="R2" s="111" t="s">
        <v>458</v>
      </c>
      <c r="S2" s="111" t="s">
        <v>459</v>
      </c>
      <c r="T2" s="111" t="s">
        <v>460</v>
      </c>
      <c r="U2" s="111" t="s">
        <v>461</v>
      </c>
      <c r="V2" s="111" t="s">
        <v>462</v>
      </c>
      <c r="W2" s="111" t="s">
        <v>463</v>
      </c>
      <c r="X2" s="111" t="s">
        <v>464</v>
      </c>
      <c r="Y2" s="111" t="s">
        <v>465</v>
      </c>
      <c r="Z2" s="111" t="s">
        <v>466</v>
      </c>
      <c r="AA2" s="111" t="s">
        <v>467</v>
      </c>
      <c r="AB2" s="111" t="s">
        <v>468</v>
      </c>
      <c r="AC2" s="111" t="s">
        <v>469</v>
      </c>
      <c r="AD2" s="111" t="s">
        <v>471</v>
      </c>
      <c r="AE2" s="111" t="s">
        <v>502</v>
      </c>
      <c r="AF2" s="111" t="s">
        <v>504</v>
      </c>
    </row>
    <row r="3" spans="1:32" s="6" customFormat="1" ht="11.4">
      <c r="A3" s="6" t="s">
        <v>306</v>
      </c>
      <c r="B3" s="57" t="s">
        <v>140</v>
      </c>
      <c r="C3" s="58">
        <f t="shared" ref="C3:P3" si="0">SUM(C4:C6)</f>
        <v>15726981</v>
      </c>
      <c r="D3" s="58">
        <f t="shared" si="0"/>
        <v>16048478</v>
      </c>
      <c r="E3" s="58">
        <f t="shared" si="0"/>
        <v>16781333</v>
      </c>
      <c r="F3" s="58">
        <f t="shared" si="0"/>
        <v>17595314</v>
      </c>
      <c r="G3" s="58">
        <f t="shared" si="0"/>
        <v>18543906</v>
      </c>
      <c r="H3" s="58">
        <f t="shared" si="0"/>
        <v>19383787</v>
      </c>
      <c r="I3" s="58">
        <f t="shared" si="0"/>
        <v>20063410</v>
      </c>
      <c r="J3" s="58">
        <f t="shared" si="0"/>
        <v>25889424</v>
      </c>
      <c r="K3" s="58">
        <f t="shared" si="0"/>
        <v>26428371</v>
      </c>
      <c r="L3" s="58">
        <f t="shared" si="0"/>
        <v>26953659</v>
      </c>
      <c r="M3" s="58">
        <f t="shared" si="0"/>
        <v>27499084</v>
      </c>
      <c r="N3" s="58">
        <f t="shared" si="0"/>
        <v>28234726</v>
      </c>
      <c r="O3" s="58">
        <f t="shared" si="0"/>
        <v>27939667</v>
      </c>
      <c r="P3" s="58">
        <f t="shared" si="0"/>
        <v>28363076</v>
      </c>
      <c r="Q3" s="58">
        <f>SUM(Q4:Q6)</f>
        <v>28748628</v>
      </c>
      <c r="R3" s="58">
        <f t="shared" ref="R3:Z3" si="1">SUM(R4:R6)</f>
        <v>29443496</v>
      </c>
      <c r="S3" s="58">
        <f t="shared" si="1"/>
        <v>29853587</v>
      </c>
      <c r="T3" s="58">
        <f t="shared" si="1"/>
        <v>30392971</v>
      </c>
      <c r="U3" s="58">
        <f t="shared" si="1"/>
        <v>31020621</v>
      </c>
      <c r="V3" s="58">
        <f t="shared" si="1"/>
        <v>31842555</v>
      </c>
      <c r="W3" s="58">
        <f t="shared" si="1"/>
        <v>32346252</v>
      </c>
      <c r="X3" s="58">
        <f t="shared" si="1"/>
        <v>32451823</v>
      </c>
      <c r="Y3" s="58">
        <f t="shared" si="1"/>
        <v>33288397</v>
      </c>
      <c r="Z3" s="89">
        <f t="shared" si="1"/>
        <v>33893617</v>
      </c>
      <c r="AA3" s="89">
        <f t="shared" ref="AA3:AF3" si="2">SUM(AA4:AA6)</f>
        <v>34202932</v>
      </c>
      <c r="AB3" s="89">
        <f t="shared" si="2"/>
        <v>34693870</v>
      </c>
      <c r="AC3" s="89">
        <f t="shared" si="2"/>
        <v>35499363</v>
      </c>
      <c r="AD3" s="89">
        <f t="shared" si="2"/>
        <v>36392031</v>
      </c>
      <c r="AE3" s="89">
        <f t="shared" si="2"/>
        <v>36293755</v>
      </c>
      <c r="AF3" s="89">
        <f t="shared" si="2"/>
        <v>36081653</v>
      </c>
    </row>
    <row r="4" spans="1:32" s="6" customFormat="1" ht="11.4">
      <c r="A4" s="6" t="s">
        <v>307</v>
      </c>
      <c r="B4" s="59" t="s">
        <v>141</v>
      </c>
      <c r="C4" s="60">
        <v>9653155</v>
      </c>
      <c r="D4" s="60">
        <v>9643537</v>
      </c>
      <c r="E4" s="60">
        <v>9898089</v>
      </c>
      <c r="F4" s="60">
        <v>10128455</v>
      </c>
      <c r="G4" s="60">
        <v>10563049</v>
      </c>
      <c r="H4" s="60">
        <v>10793093</v>
      </c>
      <c r="I4" s="60">
        <v>11039032</v>
      </c>
      <c r="J4" s="60">
        <v>16225031</v>
      </c>
      <c r="K4" s="60">
        <v>16309831</v>
      </c>
      <c r="L4" s="60">
        <v>16377187</v>
      </c>
      <c r="M4" s="60">
        <v>16500527</v>
      </c>
      <c r="N4" s="60">
        <v>16541861</v>
      </c>
      <c r="O4" s="60">
        <f>16077970-164202</f>
        <v>15913768</v>
      </c>
      <c r="P4" s="60">
        <f>16237883-167407</f>
        <v>16070476</v>
      </c>
      <c r="Q4" s="60">
        <f>16400051-165150</f>
        <v>16234901</v>
      </c>
      <c r="R4" s="60">
        <v>16528475</v>
      </c>
      <c r="S4" s="60">
        <v>16889153</v>
      </c>
      <c r="T4" s="60">
        <v>17356422</v>
      </c>
      <c r="U4" s="60">
        <v>17643177</v>
      </c>
      <c r="V4" s="60">
        <v>17819615</v>
      </c>
      <c r="W4" s="60">
        <v>17797520</v>
      </c>
      <c r="X4" s="60">
        <v>17487951</v>
      </c>
      <c r="Y4" s="60">
        <v>17371369</v>
      </c>
      <c r="Z4" s="90">
        <v>16827834</v>
      </c>
      <c r="AA4" s="90">
        <v>16604568</v>
      </c>
      <c r="AB4" s="90">
        <v>16682493</v>
      </c>
      <c r="AC4" s="90">
        <v>16852498</v>
      </c>
      <c r="AD4" s="90">
        <v>16674238</v>
      </c>
      <c r="AE4" s="90">
        <v>16352814</v>
      </c>
      <c r="AF4" s="90">
        <v>15990514</v>
      </c>
    </row>
    <row r="5" spans="1:32" s="6" customFormat="1" ht="11.4">
      <c r="A5" s="6" t="s">
        <v>308</v>
      </c>
      <c r="B5" s="59" t="s">
        <v>142</v>
      </c>
      <c r="C5" s="60">
        <v>5396225</v>
      </c>
      <c r="D5" s="60">
        <v>5777712</v>
      </c>
      <c r="E5" s="60">
        <v>6243418</v>
      </c>
      <c r="F5" s="60">
        <v>6717911</v>
      </c>
      <c r="G5" s="60">
        <v>7115750</v>
      </c>
      <c r="H5" s="60">
        <v>7631468</v>
      </c>
      <c r="I5" s="60">
        <v>7939174</v>
      </c>
      <c r="J5" s="60">
        <v>8407632</v>
      </c>
      <c r="K5" s="60">
        <v>8729547</v>
      </c>
      <c r="L5" s="60">
        <v>9116799</v>
      </c>
      <c r="M5" s="60">
        <v>9385986</v>
      </c>
      <c r="N5" s="60">
        <v>9547786</v>
      </c>
      <c r="O5" s="60">
        <v>9745651</v>
      </c>
      <c r="P5" s="60">
        <v>9998610</v>
      </c>
      <c r="Q5" s="60">
        <v>10157045</v>
      </c>
      <c r="R5" s="60">
        <f>10352136</f>
        <v>10352136</v>
      </c>
      <c r="S5" s="60">
        <v>10532079</v>
      </c>
      <c r="T5" s="60">
        <v>10732556</v>
      </c>
      <c r="U5" s="60">
        <v>11037250</v>
      </c>
      <c r="V5" s="60">
        <v>11244540</v>
      </c>
      <c r="W5" s="60">
        <v>11613403</v>
      </c>
      <c r="X5" s="60">
        <v>11909986</v>
      </c>
      <c r="Y5" s="60">
        <v>12581336</v>
      </c>
      <c r="Z5" s="90">
        <v>13214132</v>
      </c>
      <c r="AA5" s="90">
        <v>13741275</v>
      </c>
      <c r="AB5" s="90">
        <v>14240485</v>
      </c>
      <c r="AC5" s="90">
        <v>14893919</v>
      </c>
      <c r="AD5" s="90">
        <v>15434255</v>
      </c>
      <c r="AE5" s="90">
        <v>15738795</v>
      </c>
      <c r="AF5" s="90">
        <v>15939788</v>
      </c>
    </row>
    <row r="6" spans="1:32" s="6" customFormat="1" ht="11.4">
      <c r="A6" s="6" t="s">
        <v>309</v>
      </c>
      <c r="B6" s="59" t="s">
        <v>143</v>
      </c>
      <c r="C6" s="60">
        <v>677601</v>
      </c>
      <c r="D6" s="60">
        <v>627229</v>
      </c>
      <c r="E6" s="60">
        <v>639826</v>
      </c>
      <c r="F6" s="60">
        <v>748948</v>
      </c>
      <c r="G6" s="60">
        <v>865107</v>
      </c>
      <c r="H6" s="60">
        <v>959226</v>
      </c>
      <c r="I6" s="60">
        <v>1085204</v>
      </c>
      <c r="J6" s="60">
        <v>1256761</v>
      </c>
      <c r="K6" s="60">
        <v>1388993</v>
      </c>
      <c r="L6" s="60">
        <v>1459673</v>
      </c>
      <c r="M6" s="60">
        <v>1612571</v>
      </c>
      <c r="N6" s="60">
        <v>2145079</v>
      </c>
      <c r="O6" s="60">
        <v>2280248</v>
      </c>
      <c r="P6" s="60">
        <v>2293990</v>
      </c>
      <c r="Q6" s="60">
        <v>2356682</v>
      </c>
      <c r="R6" s="60">
        <v>2562885</v>
      </c>
      <c r="S6" s="60">
        <v>2432355</v>
      </c>
      <c r="T6" s="60">
        <v>2303993</v>
      </c>
      <c r="U6" s="60">
        <v>2340194</v>
      </c>
      <c r="V6" s="60">
        <v>2778400</v>
      </c>
      <c r="W6" s="60">
        <v>2935329</v>
      </c>
      <c r="X6" s="60">
        <v>3053886</v>
      </c>
      <c r="Y6" s="60">
        <v>3335692</v>
      </c>
      <c r="Z6" s="90">
        <v>3851651</v>
      </c>
      <c r="AA6" s="90">
        <v>3857089</v>
      </c>
      <c r="AB6" s="90">
        <v>3770892</v>
      </c>
      <c r="AC6" s="90">
        <v>3752946</v>
      </c>
      <c r="AD6" s="90">
        <v>4283538</v>
      </c>
      <c r="AE6" s="90">
        <v>4202146</v>
      </c>
      <c r="AF6" s="90">
        <v>4151351</v>
      </c>
    </row>
    <row r="7" spans="1:32" s="6" customFormat="1" ht="11.4">
      <c r="A7" s="6" t="s">
        <v>310</v>
      </c>
      <c r="B7" s="57" t="s">
        <v>144</v>
      </c>
      <c r="C7" s="58">
        <f t="shared" ref="C7:P7" si="3">SUM(C8:C10)</f>
        <v>11683690</v>
      </c>
      <c r="D7" s="58">
        <f t="shared" si="3"/>
        <v>12296174</v>
      </c>
      <c r="E7" s="58">
        <f t="shared" si="3"/>
        <v>12607708</v>
      </c>
      <c r="F7" s="58">
        <f t="shared" si="3"/>
        <v>13311743</v>
      </c>
      <c r="G7" s="58">
        <f t="shared" si="3"/>
        <v>14194127</v>
      </c>
      <c r="H7" s="58">
        <f t="shared" si="3"/>
        <v>14752632</v>
      </c>
      <c r="I7" s="58">
        <f t="shared" si="3"/>
        <v>15025481</v>
      </c>
      <c r="J7" s="58">
        <f t="shared" si="3"/>
        <v>20357764</v>
      </c>
      <c r="K7" s="58">
        <f t="shared" si="3"/>
        <v>21974572</v>
      </c>
      <c r="L7" s="58">
        <f t="shared" si="3"/>
        <v>22125695</v>
      </c>
      <c r="M7" s="58">
        <f t="shared" si="3"/>
        <v>22600443</v>
      </c>
      <c r="N7" s="58">
        <f t="shared" si="3"/>
        <v>23031914</v>
      </c>
      <c r="O7" s="58">
        <f t="shared" si="3"/>
        <v>23386334</v>
      </c>
      <c r="P7" s="58">
        <f t="shared" si="3"/>
        <v>24070670</v>
      </c>
      <c r="Q7" s="58">
        <f>SUM(Q8:Q10)</f>
        <v>24512024</v>
      </c>
      <c r="R7" s="58">
        <f t="shared" ref="R7:Z7" si="4">SUM(R8:R10)</f>
        <v>24802516</v>
      </c>
      <c r="S7" s="58">
        <f t="shared" si="4"/>
        <v>25540177</v>
      </c>
      <c r="T7" s="58">
        <f t="shared" si="4"/>
        <v>26271343</v>
      </c>
      <c r="U7" s="58">
        <f t="shared" si="4"/>
        <v>25663863</v>
      </c>
      <c r="V7" s="58">
        <f t="shared" si="4"/>
        <v>24001967</v>
      </c>
      <c r="W7" s="58">
        <f t="shared" si="4"/>
        <v>24171874.207860731</v>
      </c>
      <c r="X7" s="58">
        <f t="shared" si="4"/>
        <v>23251657</v>
      </c>
      <c r="Y7" s="58">
        <f t="shared" si="4"/>
        <v>22707487</v>
      </c>
      <c r="Z7" s="89">
        <f t="shared" si="4"/>
        <v>22321805</v>
      </c>
      <c r="AA7" s="89">
        <f t="shared" ref="AA7:AF7" si="5">SUM(AA8:AA10)</f>
        <v>22069677</v>
      </c>
      <c r="AB7" s="89">
        <f t="shared" si="5"/>
        <v>22334539</v>
      </c>
      <c r="AC7" s="89">
        <f t="shared" si="5"/>
        <v>22333890</v>
      </c>
      <c r="AD7" s="89">
        <f t="shared" si="5"/>
        <v>21836147</v>
      </c>
      <c r="AE7" s="89">
        <f t="shared" si="5"/>
        <v>21856878</v>
      </c>
      <c r="AF7" s="89">
        <f t="shared" si="5"/>
        <v>22190158</v>
      </c>
    </row>
    <row r="8" spans="1:32" s="6" customFormat="1" ht="11.4">
      <c r="A8" s="6" t="s">
        <v>311</v>
      </c>
      <c r="B8" s="59" t="s">
        <v>145</v>
      </c>
      <c r="C8" s="60">
        <v>6649023</v>
      </c>
      <c r="D8" s="60">
        <v>6971721</v>
      </c>
      <c r="E8" s="60">
        <v>7064903</v>
      </c>
      <c r="F8" s="60">
        <v>7308603</v>
      </c>
      <c r="G8" s="60">
        <v>7744215</v>
      </c>
      <c r="H8" s="60">
        <v>7791139</v>
      </c>
      <c r="I8" s="60">
        <v>7931019</v>
      </c>
      <c r="J8" s="60">
        <v>10749077</v>
      </c>
      <c r="K8" s="60">
        <v>11305891</v>
      </c>
      <c r="L8" s="60">
        <v>11465952</v>
      </c>
      <c r="M8" s="60">
        <v>11374903</v>
      </c>
      <c r="N8" s="60">
        <v>11904696</v>
      </c>
      <c r="O8" s="60">
        <f>11943091-79149</f>
        <v>11863942</v>
      </c>
      <c r="P8" s="60">
        <f>11964428-73181</f>
        <v>11891247</v>
      </c>
      <c r="Q8" s="60">
        <f>11899708-79080</f>
        <v>11820628</v>
      </c>
      <c r="R8" s="60">
        <v>11612837</v>
      </c>
      <c r="S8" s="60">
        <v>12038778</v>
      </c>
      <c r="T8" s="60">
        <v>11960242</v>
      </c>
      <c r="U8" s="60">
        <v>11650169</v>
      </c>
      <c r="V8" s="60">
        <v>11023892</v>
      </c>
      <c r="W8" s="60">
        <v>10909559.166399401</v>
      </c>
      <c r="X8" s="60">
        <v>10138489</v>
      </c>
      <c r="Y8" s="60">
        <v>10061313</v>
      </c>
      <c r="Z8" s="90">
        <v>9718718</v>
      </c>
      <c r="AA8" s="90">
        <v>11094845</v>
      </c>
      <c r="AB8" s="90">
        <v>10345264</v>
      </c>
      <c r="AC8" s="90">
        <v>13027503</v>
      </c>
      <c r="AD8" s="90">
        <v>10116453</v>
      </c>
      <c r="AE8" s="90">
        <v>10388654</v>
      </c>
      <c r="AF8" s="90">
        <v>10567435</v>
      </c>
    </row>
    <row r="9" spans="1:32" s="6" customFormat="1" ht="11.4">
      <c r="A9" s="6" t="s">
        <v>312</v>
      </c>
      <c r="B9" s="59" t="s">
        <v>146</v>
      </c>
      <c r="C9" s="60">
        <v>4330886</v>
      </c>
      <c r="D9" s="60">
        <v>4668444</v>
      </c>
      <c r="E9" s="60">
        <v>4917282</v>
      </c>
      <c r="F9" s="60">
        <v>5481578</v>
      </c>
      <c r="G9" s="60">
        <v>5690353</v>
      </c>
      <c r="H9" s="60">
        <v>6103213</v>
      </c>
      <c r="I9" s="60">
        <v>6191164</v>
      </c>
      <c r="J9" s="60">
        <v>7486754</v>
      </c>
      <c r="K9" s="60">
        <v>8157037</v>
      </c>
      <c r="L9" s="60">
        <v>8355025</v>
      </c>
      <c r="M9" s="60">
        <v>8570421</v>
      </c>
      <c r="N9" s="60">
        <v>8620606</v>
      </c>
      <c r="O9" s="60">
        <v>8455111</v>
      </c>
      <c r="P9" s="60">
        <v>8415320</v>
      </c>
      <c r="Q9" s="60">
        <v>8328087</v>
      </c>
      <c r="R9" s="60">
        <v>8310328</v>
      </c>
      <c r="S9" s="60">
        <v>7935188</v>
      </c>
      <c r="T9" s="60">
        <v>7970741</v>
      </c>
      <c r="U9" s="60">
        <v>7916491</v>
      </c>
      <c r="V9" s="60">
        <v>7189882</v>
      </c>
      <c r="W9" s="60">
        <v>7309560</v>
      </c>
      <c r="X9" s="60">
        <v>6771404</v>
      </c>
      <c r="Y9" s="60">
        <v>6694474</v>
      </c>
      <c r="Z9" s="90">
        <v>6574706</v>
      </c>
      <c r="AA9" s="90">
        <v>4644998</v>
      </c>
      <c r="AB9" s="90">
        <v>5649148</v>
      </c>
      <c r="AC9" s="90">
        <v>5502180</v>
      </c>
      <c r="AD9" s="90">
        <v>5217830</v>
      </c>
      <c r="AE9" s="90">
        <v>4938372</v>
      </c>
      <c r="AF9" s="90">
        <v>4841061</v>
      </c>
    </row>
    <row r="10" spans="1:32" s="6" customFormat="1" ht="11.4">
      <c r="A10" s="6" t="s">
        <v>313</v>
      </c>
      <c r="B10" s="59" t="s">
        <v>147</v>
      </c>
      <c r="C10" s="60">
        <v>703781</v>
      </c>
      <c r="D10" s="60">
        <v>656009</v>
      </c>
      <c r="E10" s="60">
        <v>625523</v>
      </c>
      <c r="F10" s="60">
        <v>521562</v>
      </c>
      <c r="G10" s="60">
        <v>759559</v>
      </c>
      <c r="H10" s="60">
        <v>858280</v>
      </c>
      <c r="I10" s="60">
        <v>903298</v>
      </c>
      <c r="J10" s="60">
        <v>2121933</v>
      </c>
      <c r="K10" s="60">
        <v>2511644</v>
      </c>
      <c r="L10" s="60">
        <v>2304718</v>
      </c>
      <c r="M10" s="60">
        <v>2655119</v>
      </c>
      <c r="N10" s="60">
        <v>2506612</v>
      </c>
      <c r="O10" s="60">
        <v>3067281</v>
      </c>
      <c r="P10" s="60">
        <v>3764103</v>
      </c>
      <c r="Q10" s="60">
        <v>4363309</v>
      </c>
      <c r="R10" s="60">
        <v>4879351</v>
      </c>
      <c r="S10" s="60">
        <v>5566211</v>
      </c>
      <c r="T10" s="60">
        <v>6340360</v>
      </c>
      <c r="U10" s="60">
        <v>6097203</v>
      </c>
      <c r="V10" s="60">
        <v>5788193</v>
      </c>
      <c r="W10" s="60">
        <v>5952755.0414613308</v>
      </c>
      <c r="X10" s="60">
        <v>6341764</v>
      </c>
      <c r="Y10" s="60">
        <v>5951700</v>
      </c>
      <c r="Z10" s="90">
        <v>6028381</v>
      </c>
      <c r="AA10" s="90">
        <v>6329834</v>
      </c>
      <c r="AB10" s="90">
        <v>6340127</v>
      </c>
      <c r="AC10" s="90">
        <v>3804207</v>
      </c>
      <c r="AD10" s="90">
        <v>6501864</v>
      </c>
      <c r="AE10" s="90">
        <v>6529852</v>
      </c>
      <c r="AF10" s="90">
        <v>6781662</v>
      </c>
    </row>
    <row r="11" spans="1:32" s="6" customFormat="1" ht="11.4">
      <c r="A11" s="6" t="s">
        <v>314</v>
      </c>
      <c r="B11" s="57" t="s">
        <v>148</v>
      </c>
      <c r="C11" s="58">
        <f t="shared" ref="C11:P11" si="6">C3+C7</f>
        <v>27410671</v>
      </c>
      <c r="D11" s="58">
        <f t="shared" si="6"/>
        <v>28344652</v>
      </c>
      <c r="E11" s="58">
        <f t="shared" si="6"/>
        <v>29389041</v>
      </c>
      <c r="F11" s="58">
        <f t="shared" si="6"/>
        <v>30907057</v>
      </c>
      <c r="G11" s="58">
        <f t="shared" si="6"/>
        <v>32738033</v>
      </c>
      <c r="H11" s="58">
        <f t="shared" si="6"/>
        <v>34136419</v>
      </c>
      <c r="I11" s="58">
        <f t="shared" si="6"/>
        <v>35088891</v>
      </c>
      <c r="J11" s="58">
        <f t="shared" si="6"/>
        <v>46247188</v>
      </c>
      <c r="K11" s="58">
        <f t="shared" si="6"/>
        <v>48402943</v>
      </c>
      <c r="L11" s="58">
        <f t="shared" si="6"/>
        <v>49079354</v>
      </c>
      <c r="M11" s="58">
        <f t="shared" si="6"/>
        <v>50099527</v>
      </c>
      <c r="N11" s="58">
        <f t="shared" si="6"/>
        <v>51266640</v>
      </c>
      <c r="O11" s="58">
        <f t="shared" si="6"/>
        <v>51326001</v>
      </c>
      <c r="P11" s="58">
        <f t="shared" si="6"/>
        <v>52433746</v>
      </c>
      <c r="Q11" s="58">
        <f>Q3+Q7</f>
        <v>53260652</v>
      </c>
      <c r="R11" s="58">
        <f t="shared" ref="R11:Z11" si="7">R3+R7</f>
        <v>54246012</v>
      </c>
      <c r="S11" s="58">
        <f t="shared" si="7"/>
        <v>55393764</v>
      </c>
      <c r="T11" s="58">
        <f t="shared" si="7"/>
        <v>56664314</v>
      </c>
      <c r="U11" s="58">
        <f t="shared" si="7"/>
        <v>56684484</v>
      </c>
      <c r="V11" s="58">
        <f t="shared" si="7"/>
        <v>55844522</v>
      </c>
      <c r="W11" s="58">
        <f t="shared" si="7"/>
        <v>56518126.207860731</v>
      </c>
      <c r="X11" s="58">
        <f t="shared" si="7"/>
        <v>55703480</v>
      </c>
      <c r="Y11" s="58">
        <f t="shared" si="7"/>
        <v>55995884</v>
      </c>
      <c r="Z11" s="89">
        <f t="shared" si="7"/>
        <v>56215422</v>
      </c>
      <c r="AA11" s="89">
        <f t="shared" ref="AA11:AF11" si="8">AA3+AA7</f>
        <v>56272609</v>
      </c>
      <c r="AB11" s="89">
        <f t="shared" si="8"/>
        <v>57028409</v>
      </c>
      <c r="AC11" s="89">
        <f t="shared" si="8"/>
        <v>57833253</v>
      </c>
      <c r="AD11" s="89">
        <f t="shared" si="8"/>
        <v>58228178</v>
      </c>
      <c r="AE11" s="89">
        <f t="shared" si="8"/>
        <v>58150633</v>
      </c>
      <c r="AF11" s="89">
        <f t="shared" si="8"/>
        <v>58271811</v>
      </c>
    </row>
    <row r="15" spans="1:32">
      <c r="C15" s="1"/>
      <c r="G15" s="1"/>
    </row>
    <row r="17" spans="11:22">
      <c r="L17" s="1"/>
      <c r="R17" s="1"/>
      <c r="V17" s="1"/>
    </row>
    <row r="19" spans="11:22">
      <c r="K19" s="1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O40"/>
  <sheetViews>
    <sheetView topLeftCell="A13" zoomScaleNormal="100" workbookViewId="0">
      <selection activeCell="P38" sqref="P38"/>
    </sheetView>
  </sheetViews>
  <sheetFormatPr defaultRowHeight="10.199999999999999"/>
  <cols>
    <col min="1" max="1" width="24.28515625" bestFit="1" customWidth="1"/>
    <col min="2" max="2" width="26.85546875" bestFit="1" customWidth="1"/>
    <col min="3" max="15" width="8.85546875" bestFit="1" customWidth="1"/>
  </cols>
  <sheetData>
    <row r="1" spans="1:15" ht="10.8" thickBot="1">
      <c r="C1" s="111" t="s">
        <v>431</v>
      </c>
      <c r="D1" s="111" t="s">
        <v>434</v>
      </c>
      <c r="E1" s="111" t="s">
        <v>435</v>
      </c>
      <c r="F1" s="111" t="s">
        <v>436</v>
      </c>
      <c r="G1" s="111" t="s">
        <v>437</v>
      </c>
      <c r="H1" s="111" t="s">
        <v>438</v>
      </c>
      <c r="I1" s="111" t="s">
        <v>439</v>
      </c>
      <c r="J1" s="111" t="s">
        <v>440</v>
      </c>
      <c r="K1" s="111" t="s">
        <v>441</v>
      </c>
      <c r="L1" s="111" t="s">
        <v>442</v>
      </c>
      <c r="M1" s="111" t="s">
        <v>472</v>
      </c>
      <c r="N1" s="111" t="s">
        <v>501</v>
      </c>
      <c r="O1" s="111" t="s">
        <v>503</v>
      </c>
    </row>
    <row r="2" spans="1:15" ht="12" thickBot="1">
      <c r="A2" s="124" t="s">
        <v>165</v>
      </c>
      <c r="B2" s="125" t="s">
        <v>333</v>
      </c>
      <c r="C2" s="111" t="s">
        <v>458</v>
      </c>
      <c r="D2" s="111" t="s">
        <v>461</v>
      </c>
      <c r="E2" s="111" t="s">
        <v>462</v>
      </c>
      <c r="F2" s="111" t="s">
        <v>463</v>
      </c>
      <c r="G2" s="111" t="s">
        <v>464</v>
      </c>
      <c r="H2" s="111" t="s">
        <v>465</v>
      </c>
      <c r="I2" s="111" t="s">
        <v>466</v>
      </c>
      <c r="J2" s="111" t="s">
        <v>467</v>
      </c>
      <c r="K2" s="111" t="s">
        <v>468</v>
      </c>
      <c r="L2" s="111" t="s">
        <v>469</v>
      </c>
      <c r="M2" s="111" t="s">
        <v>471</v>
      </c>
      <c r="N2" s="111" t="s">
        <v>502</v>
      </c>
      <c r="O2" s="111" t="s">
        <v>504</v>
      </c>
    </row>
    <row r="3" spans="1:15" s="121" customFormat="1" ht="11.4">
      <c r="A3" s="120" t="s">
        <v>344</v>
      </c>
      <c r="B3" s="119" t="s">
        <v>334</v>
      </c>
      <c r="C3" s="96"/>
      <c r="D3" s="96"/>
      <c r="E3" s="97"/>
      <c r="F3" s="96"/>
      <c r="G3" s="96"/>
      <c r="H3" s="96"/>
      <c r="I3" s="96"/>
      <c r="J3" s="96"/>
      <c r="K3" s="96"/>
      <c r="L3" s="96"/>
      <c r="M3" s="96"/>
      <c r="N3" s="96"/>
      <c r="O3" s="96"/>
    </row>
    <row r="4" spans="1:15" s="121" customFormat="1" ht="11.4">
      <c r="A4" s="122" t="s">
        <v>306</v>
      </c>
      <c r="B4" s="93" t="s">
        <v>140</v>
      </c>
      <c r="C4" s="94">
        <f>SUM(C5:C8)</f>
        <v>32048060</v>
      </c>
      <c r="D4" s="94">
        <f t="shared" ref="D4:L4" si="0">SUM(D5:D8)</f>
        <v>33626294</v>
      </c>
      <c r="E4" s="94">
        <f t="shared" si="0"/>
        <v>34492218</v>
      </c>
      <c r="F4" s="94">
        <f t="shared" si="0"/>
        <v>35063271</v>
      </c>
      <c r="G4" s="94">
        <f t="shared" si="0"/>
        <v>35212759</v>
      </c>
      <c r="H4" s="94">
        <f t="shared" si="0"/>
        <v>36235994</v>
      </c>
      <c r="I4" s="94">
        <f t="shared" si="0"/>
        <v>36750867</v>
      </c>
      <c r="J4" s="94">
        <f t="shared" si="0"/>
        <v>36702350</v>
      </c>
      <c r="K4" s="94">
        <f t="shared" si="0"/>
        <v>37004546</v>
      </c>
      <c r="L4" s="94">
        <f t="shared" si="0"/>
        <v>37930709</v>
      </c>
      <c r="M4" s="94">
        <f>SUM(M5:M8)</f>
        <v>38592653</v>
      </c>
      <c r="N4" s="94">
        <f t="shared" ref="N4:O4" si="1">SUM(N5:N8)</f>
        <v>38571309</v>
      </c>
      <c r="O4" s="94">
        <f t="shared" si="1"/>
        <v>38245409</v>
      </c>
    </row>
    <row r="5" spans="1:15" s="121" customFormat="1" ht="11.4">
      <c r="A5" s="123" t="s">
        <v>337</v>
      </c>
      <c r="B5" s="95" t="s">
        <v>109</v>
      </c>
      <c r="C5" s="96">
        <v>26277481</v>
      </c>
      <c r="D5" s="96">
        <v>28053059</v>
      </c>
      <c r="E5" s="96">
        <v>29057301</v>
      </c>
      <c r="F5" s="96">
        <v>29524088</v>
      </c>
      <c r="G5" s="96">
        <v>29351385</v>
      </c>
      <c r="H5" s="96">
        <v>30260616</v>
      </c>
      <c r="I5" s="96">
        <v>31012809</v>
      </c>
      <c r="J5" s="96">
        <v>31484511</v>
      </c>
      <c r="K5" s="96">
        <v>32168447</v>
      </c>
      <c r="L5" s="96">
        <v>32975625</v>
      </c>
      <c r="M5" s="96">
        <v>34331648</v>
      </c>
      <c r="N5" s="96">
        <v>34192697</v>
      </c>
      <c r="O5" s="96">
        <v>33778873</v>
      </c>
    </row>
    <row r="6" spans="1:15" s="121" customFormat="1" ht="11.4">
      <c r="A6" s="123" t="s">
        <v>272</v>
      </c>
      <c r="B6" s="95" t="s">
        <v>106</v>
      </c>
      <c r="C6" s="96">
        <v>2944648</v>
      </c>
      <c r="D6" s="96">
        <v>2752740</v>
      </c>
      <c r="E6" s="96">
        <v>2576933</v>
      </c>
      <c r="F6" s="96">
        <v>2597104</v>
      </c>
      <c r="G6" s="96">
        <v>2883743</v>
      </c>
      <c r="H6" s="96">
        <v>2802648</v>
      </c>
      <c r="I6" s="96">
        <v>2676064</v>
      </c>
      <c r="J6" s="96">
        <v>2494331</v>
      </c>
      <c r="K6" s="96">
        <v>2380828</v>
      </c>
      <c r="L6" s="96">
        <v>2405378</v>
      </c>
      <c r="M6" s="96">
        <v>1981672</v>
      </c>
      <c r="N6" s="96">
        <v>2045398</v>
      </c>
      <c r="O6" s="96">
        <v>2300015</v>
      </c>
    </row>
    <row r="7" spans="1:15" s="121" customFormat="1" ht="11.4">
      <c r="A7" s="123" t="s">
        <v>338</v>
      </c>
      <c r="B7" s="95" t="s">
        <v>339</v>
      </c>
      <c r="C7" s="96">
        <v>2687348</v>
      </c>
      <c r="D7" s="96">
        <v>2701613</v>
      </c>
      <c r="E7" s="96">
        <v>2742152</v>
      </c>
      <c r="F7" s="96">
        <v>2835657</v>
      </c>
      <c r="G7" s="96">
        <v>2891594</v>
      </c>
      <c r="H7" s="96">
        <v>3086814</v>
      </c>
      <c r="I7" s="96">
        <v>2996225</v>
      </c>
      <c r="J7" s="96">
        <v>2670665</v>
      </c>
      <c r="K7" s="96">
        <v>2408925</v>
      </c>
      <c r="L7" s="96">
        <v>2503373</v>
      </c>
      <c r="M7" s="96">
        <v>2246043</v>
      </c>
      <c r="N7" s="96">
        <v>2301711</v>
      </c>
      <c r="O7" s="96">
        <v>2138603</v>
      </c>
    </row>
    <row r="8" spans="1:15" s="121" customFormat="1" ht="11.4">
      <c r="A8" s="123" t="s">
        <v>110</v>
      </c>
      <c r="B8" s="95" t="s">
        <v>340</v>
      </c>
      <c r="C8" s="96">
        <v>138583</v>
      </c>
      <c r="D8" s="96">
        <v>118882</v>
      </c>
      <c r="E8" s="96">
        <v>115832</v>
      </c>
      <c r="F8" s="96">
        <v>106422</v>
      </c>
      <c r="G8" s="96">
        <v>86037</v>
      </c>
      <c r="H8" s="96">
        <v>85916</v>
      </c>
      <c r="I8" s="96">
        <v>65769</v>
      </c>
      <c r="J8" s="96">
        <v>52843</v>
      </c>
      <c r="K8" s="96">
        <v>46346</v>
      </c>
      <c r="L8" s="96">
        <v>46333</v>
      </c>
      <c r="M8" s="96">
        <v>33290</v>
      </c>
      <c r="N8" s="96">
        <v>31503</v>
      </c>
      <c r="O8" s="96">
        <v>27918</v>
      </c>
    </row>
    <row r="9" spans="1:15" s="121" customFormat="1" ht="11.4">
      <c r="A9" s="122" t="s">
        <v>310</v>
      </c>
      <c r="B9" s="93" t="s">
        <v>144</v>
      </c>
      <c r="C9" s="94">
        <f>SUM(C10:C13)</f>
        <v>26869437</v>
      </c>
      <c r="D9" s="94">
        <f t="shared" ref="D9:L9" si="2">SUM(D10:D13)</f>
        <v>28533186</v>
      </c>
      <c r="E9" s="94">
        <f t="shared" si="2"/>
        <v>26801309</v>
      </c>
      <c r="F9" s="94">
        <f t="shared" si="2"/>
        <v>27135108</v>
      </c>
      <c r="G9" s="94">
        <f t="shared" si="2"/>
        <v>26497707</v>
      </c>
      <c r="H9" s="94">
        <f t="shared" si="2"/>
        <v>26109605</v>
      </c>
      <c r="I9" s="94">
        <f t="shared" si="2"/>
        <v>25711076</v>
      </c>
      <c r="J9" s="94">
        <f t="shared" si="2"/>
        <v>25353111</v>
      </c>
      <c r="K9" s="94">
        <f t="shared" si="2"/>
        <v>25591568</v>
      </c>
      <c r="L9" s="94">
        <f t="shared" si="2"/>
        <v>25505141</v>
      </c>
      <c r="M9" s="94">
        <f>SUM(M10:M13)</f>
        <v>24985917</v>
      </c>
      <c r="N9" s="94">
        <f t="shared" ref="N9:O9" si="3">SUM(N10:N13)</f>
        <v>24786096</v>
      </c>
      <c r="O9" s="94">
        <f t="shared" si="3"/>
        <v>24988109</v>
      </c>
    </row>
    <row r="10" spans="1:15" s="121" customFormat="1" ht="11.4">
      <c r="A10" s="123" t="s">
        <v>337</v>
      </c>
      <c r="B10" s="95" t="s">
        <v>109</v>
      </c>
      <c r="C10" s="96">
        <f>18965644</f>
        <v>18965644</v>
      </c>
      <c r="D10" s="96">
        <v>19216776</v>
      </c>
      <c r="E10" s="96">
        <v>17302684</v>
      </c>
      <c r="F10" s="96">
        <v>17095853</v>
      </c>
      <c r="G10" s="96">
        <v>15458345</v>
      </c>
      <c r="H10" s="96">
        <v>15147661</v>
      </c>
      <c r="I10" s="96">
        <v>14774099</v>
      </c>
      <c r="J10" s="96">
        <v>14715703</v>
      </c>
      <c r="K10" s="96">
        <v>15256825</v>
      </c>
      <c r="L10" s="96">
        <v>15541499</v>
      </c>
      <c r="M10" s="96">
        <v>14277156</v>
      </c>
      <c r="N10" s="96">
        <v>14355426</v>
      </c>
      <c r="O10" s="96">
        <v>14876246</v>
      </c>
    </row>
    <row r="11" spans="1:15" s="121" customFormat="1" ht="11.4">
      <c r="A11" s="123" t="s">
        <v>272</v>
      </c>
      <c r="B11" s="95" t="s">
        <v>106</v>
      </c>
      <c r="C11" s="96">
        <v>3411742</v>
      </c>
      <c r="D11" s="96">
        <v>3649259</v>
      </c>
      <c r="E11" s="96">
        <v>3448949</v>
      </c>
      <c r="F11" s="96">
        <v>3657128</v>
      </c>
      <c r="G11" s="96">
        <v>4908616</v>
      </c>
      <c r="H11" s="96">
        <v>4680497</v>
      </c>
      <c r="I11" s="96">
        <v>4935389</v>
      </c>
      <c r="J11" s="96">
        <v>4759101</v>
      </c>
      <c r="K11" s="96">
        <v>4636263</v>
      </c>
      <c r="L11" s="96">
        <v>4382981</v>
      </c>
      <c r="M11" s="96">
        <v>5469150</v>
      </c>
      <c r="N11" s="96">
        <v>5563537</v>
      </c>
      <c r="O11" s="96">
        <v>5476817</v>
      </c>
    </row>
    <row r="12" spans="1:15" s="121" customFormat="1" ht="11.4">
      <c r="A12" s="123" t="s">
        <v>338</v>
      </c>
      <c r="B12" s="95" t="s">
        <v>339</v>
      </c>
      <c r="C12" s="96">
        <v>4231822</v>
      </c>
      <c r="D12" s="96">
        <v>5410967</v>
      </c>
      <c r="E12" s="96">
        <v>5830089</v>
      </c>
      <c r="F12" s="96">
        <v>6158588</v>
      </c>
      <c r="G12" s="96">
        <v>5916928</v>
      </c>
      <c r="H12" s="96">
        <v>6068890</v>
      </c>
      <c r="I12" s="96">
        <v>5788285</v>
      </c>
      <c r="J12" s="96">
        <v>5687050</v>
      </c>
      <c r="K12" s="96">
        <v>5515256</v>
      </c>
      <c r="L12" s="96">
        <v>5398638</v>
      </c>
      <c r="M12" s="96">
        <v>5002900</v>
      </c>
      <c r="N12" s="96">
        <v>4634569</v>
      </c>
      <c r="O12" s="96">
        <v>4397256</v>
      </c>
    </row>
    <row r="13" spans="1:15" s="121" customFormat="1" ht="11.4">
      <c r="A13" s="123" t="s">
        <v>110</v>
      </c>
      <c r="B13" s="95" t="s">
        <v>340</v>
      </c>
      <c r="C13" s="96">
        <v>260229</v>
      </c>
      <c r="D13" s="96">
        <v>256184</v>
      </c>
      <c r="E13" s="96">
        <v>219587</v>
      </c>
      <c r="F13" s="96">
        <v>223539</v>
      </c>
      <c r="G13" s="96">
        <v>213818</v>
      </c>
      <c r="H13" s="96">
        <v>212557</v>
      </c>
      <c r="I13" s="96">
        <v>213303</v>
      </c>
      <c r="J13" s="96">
        <v>191257</v>
      </c>
      <c r="K13" s="96">
        <v>183224</v>
      </c>
      <c r="L13" s="96">
        <v>182023</v>
      </c>
      <c r="M13" s="96">
        <v>236711</v>
      </c>
      <c r="N13" s="96">
        <v>232564</v>
      </c>
      <c r="O13" s="96">
        <v>237790</v>
      </c>
    </row>
    <row r="14" spans="1:15" s="121" customFormat="1" ht="12" customHeight="1">
      <c r="A14" s="122" t="s">
        <v>314</v>
      </c>
      <c r="B14" s="93" t="s">
        <v>148</v>
      </c>
      <c r="C14" s="94">
        <f>C4+C9</f>
        <v>58917497</v>
      </c>
      <c r="D14" s="94">
        <f t="shared" ref="D14:L14" si="4">D4+D9</f>
        <v>62159480</v>
      </c>
      <c r="E14" s="94">
        <f t="shared" si="4"/>
        <v>61293527</v>
      </c>
      <c r="F14" s="94">
        <f t="shared" si="4"/>
        <v>62198379</v>
      </c>
      <c r="G14" s="94">
        <f t="shared" si="4"/>
        <v>61710466</v>
      </c>
      <c r="H14" s="94">
        <f t="shared" si="4"/>
        <v>62345599</v>
      </c>
      <c r="I14" s="94">
        <f t="shared" si="4"/>
        <v>62461943</v>
      </c>
      <c r="J14" s="94">
        <f t="shared" si="4"/>
        <v>62055461</v>
      </c>
      <c r="K14" s="94">
        <f t="shared" si="4"/>
        <v>62596114</v>
      </c>
      <c r="L14" s="94">
        <f t="shared" si="4"/>
        <v>63435850</v>
      </c>
      <c r="M14" s="94">
        <f>M4+M9</f>
        <v>63578570</v>
      </c>
      <c r="N14" s="94">
        <f t="shared" ref="N14:O14" si="5">N4+N9</f>
        <v>63357405</v>
      </c>
      <c r="O14" s="94">
        <f t="shared" si="5"/>
        <v>63233518</v>
      </c>
    </row>
    <row r="15" spans="1:15" s="121" customFormat="1" ht="22.8">
      <c r="A15" s="120" t="s">
        <v>345</v>
      </c>
      <c r="B15" s="119" t="s">
        <v>335</v>
      </c>
      <c r="C15" s="96"/>
      <c r="D15" s="96"/>
      <c r="E15" s="97"/>
      <c r="F15" s="96"/>
      <c r="G15" s="96"/>
      <c r="H15" s="96"/>
      <c r="I15" s="96"/>
      <c r="J15" s="96"/>
      <c r="K15" s="96"/>
      <c r="L15" s="96"/>
      <c r="M15" s="96"/>
      <c r="N15" s="96"/>
      <c r="O15" s="96"/>
    </row>
    <row r="16" spans="1:15" s="121" customFormat="1" ht="11.4">
      <c r="A16" s="122" t="s">
        <v>306</v>
      </c>
      <c r="B16" s="93" t="s">
        <v>140</v>
      </c>
      <c r="C16" s="94">
        <f t="shared" ref="C16:L16" si="6">SUM(C17:C20)</f>
        <v>-2604564</v>
      </c>
      <c r="D16" s="94">
        <f t="shared" si="6"/>
        <v>-2605673</v>
      </c>
      <c r="E16" s="94">
        <f t="shared" si="6"/>
        <v>-2649663</v>
      </c>
      <c r="F16" s="94">
        <f t="shared" si="6"/>
        <v>-2717019</v>
      </c>
      <c r="G16" s="94">
        <f t="shared" si="6"/>
        <v>-2760936</v>
      </c>
      <c r="H16" s="94">
        <f t="shared" si="6"/>
        <v>-2947597</v>
      </c>
      <c r="I16" s="94">
        <f t="shared" si="6"/>
        <v>-2857250</v>
      </c>
      <c r="J16" s="94">
        <f t="shared" si="6"/>
        <v>-2499418</v>
      </c>
      <c r="K16" s="94">
        <f t="shared" si="6"/>
        <v>-2310676</v>
      </c>
      <c r="L16" s="94">
        <f t="shared" si="6"/>
        <v>-2431346</v>
      </c>
      <c r="M16" s="94">
        <f>SUM(M17:M20)</f>
        <v>-2200622</v>
      </c>
      <c r="N16" s="94">
        <f t="shared" ref="N16:O16" si="7">SUM(N17:N20)</f>
        <v>-2277554</v>
      </c>
      <c r="O16" s="94">
        <f t="shared" si="7"/>
        <v>-2163756</v>
      </c>
    </row>
    <row r="17" spans="1:15" s="121" customFormat="1" ht="11.4">
      <c r="A17" s="123" t="s">
        <v>337</v>
      </c>
      <c r="B17" s="95" t="s">
        <v>109</v>
      </c>
      <c r="C17" s="96">
        <v>-288859</v>
      </c>
      <c r="D17" s="96">
        <v>-285604</v>
      </c>
      <c r="E17" s="96">
        <v>-305168</v>
      </c>
      <c r="F17" s="96">
        <v>-316453</v>
      </c>
      <c r="G17" s="96">
        <v>-340170</v>
      </c>
      <c r="H17" s="96">
        <v>-366047</v>
      </c>
      <c r="I17" s="96">
        <v>-364336</v>
      </c>
      <c r="J17" s="96">
        <v>-333647</v>
      </c>
      <c r="K17" s="96">
        <v>-336188</v>
      </c>
      <c r="L17" s="96">
        <v>-350978</v>
      </c>
      <c r="M17" s="96">
        <v>-360401</v>
      </c>
      <c r="N17" s="96">
        <v>-359101</v>
      </c>
      <c r="O17" s="96">
        <v>-352541</v>
      </c>
    </row>
    <row r="18" spans="1:15" s="121" customFormat="1" ht="11.4">
      <c r="A18" s="123" t="s">
        <v>272</v>
      </c>
      <c r="B18" s="95" t="s">
        <v>106</v>
      </c>
      <c r="C18" s="96">
        <v>-539526</v>
      </c>
      <c r="D18" s="96">
        <v>-497105</v>
      </c>
      <c r="E18" s="96">
        <v>-468820</v>
      </c>
      <c r="F18" s="96">
        <v>-455457</v>
      </c>
      <c r="G18" s="96">
        <v>-465699</v>
      </c>
      <c r="H18" s="96">
        <v>-478668</v>
      </c>
      <c r="I18" s="96">
        <v>-450325</v>
      </c>
      <c r="J18" s="96">
        <v>-385618</v>
      </c>
      <c r="K18" s="96">
        <v>-383799</v>
      </c>
      <c r="L18" s="96">
        <v>-388292</v>
      </c>
      <c r="M18" s="96">
        <v>-353745</v>
      </c>
      <c r="N18" s="96">
        <v>-361976</v>
      </c>
      <c r="O18" s="96">
        <v>-386185</v>
      </c>
    </row>
    <row r="19" spans="1:15" s="121" customFormat="1" ht="11.4">
      <c r="A19" s="123" t="s">
        <v>338</v>
      </c>
      <c r="B19" s="95" t="s">
        <v>339</v>
      </c>
      <c r="C19" s="96">
        <v>-1739333</v>
      </c>
      <c r="D19" s="96">
        <v>-1770088</v>
      </c>
      <c r="E19" s="96">
        <v>-1816378</v>
      </c>
      <c r="F19" s="96">
        <v>-1886281</v>
      </c>
      <c r="G19" s="96">
        <v>-1917346</v>
      </c>
      <c r="H19" s="96">
        <v>-2060693</v>
      </c>
      <c r="I19" s="96">
        <v>-2013430</v>
      </c>
      <c r="J19" s="96">
        <v>-1758827</v>
      </c>
      <c r="K19" s="96">
        <v>-1570122</v>
      </c>
      <c r="L19" s="96">
        <v>-1668232</v>
      </c>
      <c r="M19" s="96">
        <v>-1468530</v>
      </c>
      <c r="N19" s="96">
        <v>-1538339</v>
      </c>
      <c r="O19" s="96">
        <v>-1409737</v>
      </c>
    </row>
    <row r="20" spans="1:15" ht="11.4">
      <c r="A20" s="123" t="s">
        <v>110</v>
      </c>
      <c r="B20" s="95" t="s">
        <v>340</v>
      </c>
      <c r="C20" s="96">
        <v>-36846</v>
      </c>
      <c r="D20" s="96">
        <v>-52876</v>
      </c>
      <c r="E20" s="96">
        <v>-59297</v>
      </c>
      <c r="F20" s="96">
        <v>-58828</v>
      </c>
      <c r="G20" s="96">
        <v>-37721</v>
      </c>
      <c r="H20" s="96">
        <v>-42189</v>
      </c>
      <c r="I20" s="96">
        <v>-29159</v>
      </c>
      <c r="J20" s="96">
        <v>-21326</v>
      </c>
      <c r="K20" s="96">
        <v>-20567</v>
      </c>
      <c r="L20" s="96">
        <v>-23844</v>
      </c>
      <c r="M20" s="96">
        <v>-17946</v>
      </c>
      <c r="N20" s="96">
        <v>-18138</v>
      </c>
      <c r="O20" s="96">
        <v>-15293</v>
      </c>
    </row>
    <row r="21" spans="1:15" ht="11.4">
      <c r="A21" s="122" t="s">
        <v>310</v>
      </c>
      <c r="B21" s="93" t="s">
        <v>144</v>
      </c>
      <c r="C21" s="94">
        <f t="shared" ref="C21:L21" si="8">SUM(C22:C25)</f>
        <v>-2066921</v>
      </c>
      <c r="D21" s="94">
        <f t="shared" si="8"/>
        <v>-2869323</v>
      </c>
      <c r="E21" s="94">
        <f t="shared" si="8"/>
        <v>-2799342</v>
      </c>
      <c r="F21" s="94">
        <f t="shared" si="8"/>
        <v>-2963234</v>
      </c>
      <c r="G21" s="94">
        <f t="shared" si="8"/>
        <v>-3246050</v>
      </c>
      <c r="H21" s="94">
        <f t="shared" si="8"/>
        <v>-3402118</v>
      </c>
      <c r="I21" s="94">
        <f t="shared" si="8"/>
        <v>-3389271</v>
      </c>
      <c r="J21" s="94">
        <f t="shared" si="8"/>
        <v>-3283434</v>
      </c>
      <c r="K21" s="94">
        <f t="shared" si="8"/>
        <v>-3257029</v>
      </c>
      <c r="L21" s="94">
        <f t="shared" si="8"/>
        <v>-3171251</v>
      </c>
      <c r="M21" s="94">
        <f>SUM(M22:M25)</f>
        <v>-3149770</v>
      </c>
      <c r="N21" s="94">
        <f t="shared" ref="N21:O21" si="9">SUM(N22:N25)</f>
        <v>-2929218</v>
      </c>
      <c r="O21" s="94">
        <f t="shared" si="9"/>
        <v>-2797951</v>
      </c>
    </row>
    <row r="22" spans="1:15" ht="11.4">
      <c r="A22" s="123" t="s">
        <v>337</v>
      </c>
      <c r="B22" s="95" t="s">
        <v>109</v>
      </c>
      <c r="C22" s="96">
        <v>-178683</v>
      </c>
      <c r="D22" s="96">
        <v>-181380</v>
      </c>
      <c r="E22" s="96">
        <v>-165966</v>
      </c>
      <c r="F22" s="96">
        <v>-168568</v>
      </c>
      <c r="G22" s="96">
        <v>-126604</v>
      </c>
      <c r="H22" s="96">
        <v>-136569</v>
      </c>
      <c r="I22" s="96">
        <v>-128464</v>
      </c>
      <c r="J22" s="96">
        <v>-126993</v>
      </c>
      <c r="K22" s="96">
        <v>-132467</v>
      </c>
      <c r="L22" s="96">
        <v>-109958</v>
      </c>
      <c r="M22" s="96">
        <v>-83969</v>
      </c>
      <c r="N22" s="96">
        <v>-81060</v>
      </c>
      <c r="O22" s="96">
        <v>-84360</v>
      </c>
    </row>
    <row r="23" spans="1:15" ht="11.4">
      <c r="A23" s="123" t="s">
        <v>272</v>
      </c>
      <c r="B23" s="95" t="s">
        <v>106</v>
      </c>
      <c r="C23" s="96">
        <v>-231610</v>
      </c>
      <c r="D23" s="96">
        <v>-228445</v>
      </c>
      <c r="E23" s="96">
        <v>-264519</v>
      </c>
      <c r="F23" s="96">
        <v>-247324</v>
      </c>
      <c r="G23" s="96">
        <v>-327649</v>
      </c>
      <c r="H23" s="96">
        <v>-333719</v>
      </c>
      <c r="I23" s="96">
        <v>-322301</v>
      </c>
      <c r="J23" s="96">
        <v>-289483</v>
      </c>
      <c r="K23" s="96">
        <v>-281061</v>
      </c>
      <c r="L23" s="96">
        <v>-249795</v>
      </c>
      <c r="M23" s="96">
        <v>-377994</v>
      </c>
      <c r="N23" s="96">
        <v>-383901</v>
      </c>
      <c r="O23" s="96">
        <v>-370806</v>
      </c>
    </row>
    <row r="24" spans="1:15" ht="11.4">
      <c r="A24" s="123" t="s">
        <v>338</v>
      </c>
      <c r="B24" s="95" t="s">
        <v>339</v>
      </c>
      <c r="C24" s="96">
        <v>-1632235</v>
      </c>
      <c r="D24" s="96">
        <v>-2409688</v>
      </c>
      <c r="E24" s="96">
        <v>-2337536</v>
      </c>
      <c r="F24" s="96">
        <v>-2511033</v>
      </c>
      <c r="G24" s="96">
        <v>-2753018</v>
      </c>
      <c r="H24" s="96">
        <v>-2888448</v>
      </c>
      <c r="I24" s="96">
        <v>-2891251</v>
      </c>
      <c r="J24" s="96">
        <v>-2840020</v>
      </c>
      <c r="K24" s="96">
        <v>-2816454</v>
      </c>
      <c r="L24" s="96">
        <v>-2782903</v>
      </c>
      <c r="M24" s="96">
        <v>-2631172</v>
      </c>
      <c r="N24" s="96">
        <v>-2408655</v>
      </c>
      <c r="O24" s="96">
        <v>-2287622</v>
      </c>
    </row>
    <row r="25" spans="1:15" ht="11.4">
      <c r="A25" s="123" t="s">
        <v>110</v>
      </c>
      <c r="B25" s="95" t="s">
        <v>340</v>
      </c>
      <c r="C25" s="96">
        <v>-24393</v>
      </c>
      <c r="D25" s="96">
        <v>-49810</v>
      </c>
      <c r="E25" s="96">
        <v>-31321</v>
      </c>
      <c r="F25" s="96">
        <v>-36309</v>
      </c>
      <c r="G25" s="96">
        <v>-38779</v>
      </c>
      <c r="H25" s="96">
        <v>-43382</v>
      </c>
      <c r="I25" s="96">
        <v>-47255</v>
      </c>
      <c r="J25" s="96">
        <v>-26938</v>
      </c>
      <c r="K25" s="96">
        <v>-27047</v>
      </c>
      <c r="L25" s="96">
        <v>-28595</v>
      </c>
      <c r="M25" s="96">
        <v>-56635</v>
      </c>
      <c r="N25" s="96">
        <v>-55602</v>
      </c>
      <c r="O25" s="96">
        <v>-55163</v>
      </c>
    </row>
    <row r="26" spans="1:15" ht="11.4">
      <c r="A26" s="122" t="s">
        <v>314</v>
      </c>
      <c r="B26" s="93" t="s">
        <v>148</v>
      </c>
      <c r="C26" s="94">
        <f t="shared" ref="C26:L26" si="10">C16+C21</f>
        <v>-4671485</v>
      </c>
      <c r="D26" s="94">
        <f t="shared" si="10"/>
        <v>-5474996</v>
      </c>
      <c r="E26" s="94">
        <f t="shared" si="10"/>
        <v>-5449005</v>
      </c>
      <c r="F26" s="94">
        <f t="shared" si="10"/>
        <v>-5680253</v>
      </c>
      <c r="G26" s="94">
        <f t="shared" si="10"/>
        <v>-6006986</v>
      </c>
      <c r="H26" s="94">
        <f t="shared" si="10"/>
        <v>-6349715</v>
      </c>
      <c r="I26" s="94">
        <f t="shared" si="10"/>
        <v>-6246521</v>
      </c>
      <c r="J26" s="94">
        <f t="shared" si="10"/>
        <v>-5782852</v>
      </c>
      <c r="K26" s="94">
        <f t="shared" si="10"/>
        <v>-5567705</v>
      </c>
      <c r="L26" s="94">
        <f t="shared" si="10"/>
        <v>-5602597</v>
      </c>
      <c r="M26" s="94">
        <f>M16+M21</f>
        <v>-5350392</v>
      </c>
      <c r="N26" s="94">
        <f t="shared" ref="N26:O26" si="11">N16+N21</f>
        <v>-5206772</v>
      </c>
      <c r="O26" s="94">
        <f t="shared" si="11"/>
        <v>-4961707</v>
      </c>
    </row>
    <row r="27" spans="1:15" ht="11.4">
      <c r="A27" s="120" t="s">
        <v>343</v>
      </c>
      <c r="B27" s="119" t="s">
        <v>336</v>
      </c>
      <c r="C27" s="96"/>
      <c r="D27" s="96"/>
      <c r="E27" s="97"/>
      <c r="F27" s="96"/>
      <c r="G27" s="96"/>
      <c r="H27" s="96"/>
      <c r="I27" s="96"/>
      <c r="J27" s="96"/>
      <c r="K27" s="96"/>
      <c r="L27" s="96"/>
      <c r="M27" s="96"/>
      <c r="N27" s="96"/>
      <c r="O27" s="96"/>
    </row>
    <row r="28" spans="1:15" ht="11.4">
      <c r="A28" s="122" t="s">
        <v>306</v>
      </c>
      <c r="B28" s="93" t="s">
        <v>140</v>
      </c>
      <c r="C28" s="94">
        <f>SUM(C29:C32)</f>
        <v>29443496</v>
      </c>
      <c r="D28" s="94">
        <f t="shared" ref="D28:L28" si="12">SUM(D29:D32)</f>
        <v>31020621</v>
      </c>
      <c r="E28" s="94">
        <f t="shared" si="12"/>
        <v>31842555</v>
      </c>
      <c r="F28" s="94">
        <f t="shared" si="12"/>
        <v>32346252</v>
      </c>
      <c r="G28" s="94">
        <f t="shared" si="12"/>
        <v>32451823</v>
      </c>
      <c r="H28" s="94">
        <f t="shared" si="12"/>
        <v>33288397</v>
      </c>
      <c r="I28" s="94">
        <f t="shared" si="12"/>
        <v>33893617</v>
      </c>
      <c r="J28" s="94">
        <f t="shared" si="12"/>
        <v>34202932</v>
      </c>
      <c r="K28" s="94">
        <f t="shared" si="12"/>
        <v>34693870</v>
      </c>
      <c r="L28" s="94">
        <f t="shared" si="12"/>
        <v>35499363</v>
      </c>
      <c r="M28" s="94">
        <f>SUM(M29:M32)</f>
        <v>36392031</v>
      </c>
      <c r="N28" s="94">
        <f t="shared" ref="N28:O28" si="13">SUM(N29:N32)</f>
        <v>36293755</v>
      </c>
      <c r="O28" s="94">
        <f t="shared" si="13"/>
        <v>36081653</v>
      </c>
    </row>
    <row r="29" spans="1:15" ht="11.4">
      <c r="A29" s="123" t="s">
        <v>337</v>
      </c>
      <c r="B29" s="95" t="s">
        <v>109</v>
      </c>
      <c r="C29" s="96">
        <f t="shared" ref="C29:L29" si="14">C5+C17</f>
        <v>25988622</v>
      </c>
      <c r="D29" s="96">
        <f t="shared" si="14"/>
        <v>27767455</v>
      </c>
      <c r="E29" s="96">
        <f t="shared" si="14"/>
        <v>28752133</v>
      </c>
      <c r="F29" s="96">
        <f t="shared" si="14"/>
        <v>29207635</v>
      </c>
      <c r="G29" s="96">
        <f t="shared" si="14"/>
        <v>29011215</v>
      </c>
      <c r="H29" s="96">
        <f t="shared" si="14"/>
        <v>29894569</v>
      </c>
      <c r="I29" s="96">
        <f t="shared" si="14"/>
        <v>30648473</v>
      </c>
      <c r="J29" s="96">
        <f t="shared" si="14"/>
        <v>31150864</v>
      </c>
      <c r="K29" s="96">
        <f t="shared" si="14"/>
        <v>31832259</v>
      </c>
      <c r="L29" s="96">
        <f t="shared" si="14"/>
        <v>32624647</v>
      </c>
      <c r="M29" s="96">
        <f>M5+M17</f>
        <v>33971247</v>
      </c>
      <c r="N29" s="96">
        <f t="shared" ref="N29:O29" si="15">N5+N17</f>
        <v>33833596</v>
      </c>
      <c r="O29" s="96">
        <f t="shared" si="15"/>
        <v>33426332</v>
      </c>
    </row>
    <row r="30" spans="1:15" ht="11.4">
      <c r="A30" s="123" t="s">
        <v>272</v>
      </c>
      <c r="B30" s="95" t="s">
        <v>106</v>
      </c>
      <c r="C30" s="96">
        <f t="shared" ref="C30:L30" si="16">C6+C18</f>
        <v>2405122</v>
      </c>
      <c r="D30" s="96">
        <f t="shared" si="16"/>
        <v>2255635</v>
      </c>
      <c r="E30" s="96">
        <f t="shared" si="16"/>
        <v>2108113</v>
      </c>
      <c r="F30" s="96">
        <f t="shared" si="16"/>
        <v>2141647</v>
      </c>
      <c r="G30" s="96">
        <f t="shared" si="16"/>
        <v>2418044</v>
      </c>
      <c r="H30" s="96">
        <f t="shared" si="16"/>
        <v>2323980</v>
      </c>
      <c r="I30" s="96">
        <f t="shared" si="16"/>
        <v>2225739</v>
      </c>
      <c r="J30" s="96">
        <f t="shared" si="16"/>
        <v>2108713</v>
      </c>
      <c r="K30" s="96">
        <f t="shared" si="16"/>
        <v>1997029</v>
      </c>
      <c r="L30" s="96">
        <f t="shared" si="16"/>
        <v>2017086</v>
      </c>
      <c r="M30" s="96">
        <f>M6+M18</f>
        <v>1627927</v>
      </c>
      <c r="N30" s="96">
        <f t="shared" ref="N30:O30" si="17">N6+N18</f>
        <v>1683422</v>
      </c>
      <c r="O30" s="96">
        <f t="shared" si="17"/>
        <v>1913830</v>
      </c>
    </row>
    <row r="31" spans="1:15" ht="11.4">
      <c r="A31" s="123" t="s">
        <v>338</v>
      </c>
      <c r="B31" s="95" t="s">
        <v>339</v>
      </c>
      <c r="C31" s="96">
        <f t="shared" ref="C31:L31" si="18">C7+C19</f>
        <v>948015</v>
      </c>
      <c r="D31" s="96">
        <f t="shared" si="18"/>
        <v>931525</v>
      </c>
      <c r="E31" s="96">
        <f t="shared" si="18"/>
        <v>925774</v>
      </c>
      <c r="F31" s="96">
        <f t="shared" si="18"/>
        <v>949376</v>
      </c>
      <c r="G31" s="96">
        <f t="shared" si="18"/>
        <v>974248</v>
      </c>
      <c r="H31" s="96">
        <f t="shared" si="18"/>
        <v>1026121</v>
      </c>
      <c r="I31" s="96">
        <f t="shared" si="18"/>
        <v>982795</v>
      </c>
      <c r="J31" s="96">
        <f t="shared" si="18"/>
        <v>911838</v>
      </c>
      <c r="K31" s="96">
        <f t="shared" si="18"/>
        <v>838803</v>
      </c>
      <c r="L31" s="96">
        <f t="shared" si="18"/>
        <v>835141</v>
      </c>
      <c r="M31" s="96">
        <f>M7+M19</f>
        <v>777513</v>
      </c>
      <c r="N31" s="96">
        <f t="shared" ref="N31:O31" si="19">N7+N19</f>
        <v>763372</v>
      </c>
      <c r="O31" s="96">
        <f t="shared" si="19"/>
        <v>728866</v>
      </c>
    </row>
    <row r="32" spans="1:15" ht="11.4">
      <c r="A32" s="123" t="s">
        <v>110</v>
      </c>
      <c r="B32" s="95" t="s">
        <v>340</v>
      </c>
      <c r="C32" s="96">
        <f t="shared" ref="C32:L32" si="20">C8+C20</f>
        <v>101737</v>
      </c>
      <c r="D32" s="96">
        <f t="shared" si="20"/>
        <v>66006</v>
      </c>
      <c r="E32" s="96">
        <f t="shared" si="20"/>
        <v>56535</v>
      </c>
      <c r="F32" s="96">
        <f t="shared" si="20"/>
        <v>47594</v>
      </c>
      <c r="G32" s="96">
        <f t="shared" si="20"/>
        <v>48316</v>
      </c>
      <c r="H32" s="96">
        <f t="shared" si="20"/>
        <v>43727</v>
      </c>
      <c r="I32" s="96">
        <f t="shared" si="20"/>
        <v>36610</v>
      </c>
      <c r="J32" s="96">
        <f t="shared" si="20"/>
        <v>31517</v>
      </c>
      <c r="K32" s="96">
        <f t="shared" si="20"/>
        <v>25779</v>
      </c>
      <c r="L32" s="96">
        <f t="shared" si="20"/>
        <v>22489</v>
      </c>
      <c r="M32" s="96">
        <f>M8+M20</f>
        <v>15344</v>
      </c>
      <c r="N32" s="96">
        <f t="shared" ref="N32:O32" si="21">N8+N20</f>
        <v>13365</v>
      </c>
      <c r="O32" s="96">
        <f t="shared" si="21"/>
        <v>12625</v>
      </c>
    </row>
    <row r="33" spans="1:15" ht="11.4">
      <c r="A33" s="122" t="s">
        <v>310</v>
      </c>
      <c r="B33" s="93" t="s">
        <v>144</v>
      </c>
      <c r="C33" s="94">
        <f>SUM(C34:C37)</f>
        <v>24802516</v>
      </c>
      <c r="D33" s="94">
        <f t="shared" ref="D33:L33" si="22">SUM(D34:D37)</f>
        <v>25663863</v>
      </c>
      <c r="E33" s="94">
        <f t="shared" si="22"/>
        <v>24001967</v>
      </c>
      <c r="F33" s="94">
        <f t="shared" si="22"/>
        <v>24171874</v>
      </c>
      <c r="G33" s="94">
        <f t="shared" si="22"/>
        <v>23251657</v>
      </c>
      <c r="H33" s="94">
        <f t="shared" si="22"/>
        <v>22707487</v>
      </c>
      <c r="I33" s="94">
        <f t="shared" si="22"/>
        <v>22321805</v>
      </c>
      <c r="J33" s="94">
        <f t="shared" si="22"/>
        <v>22069677</v>
      </c>
      <c r="K33" s="94">
        <f t="shared" si="22"/>
        <v>22334539</v>
      </c>
      <c r="L33" s="94">
        <f t="shared" si="22"/>
        <v>22333890</v>
      </c>
      <c r="M33" s="94">
        <f>SUM(M34:M37)</f>
        <v>21836147</v>
      </c>
      <c r="N33" s="94">
        <f t="shared" ref="N33:O33" si="23">SUM(N34:N37)</f>
        <v>21856878</v>
      </c>
      <c r="O33" s="94">
        <f t="shared" si="23"/>
        <v>22190158</v>
      </c>
    </row>
    <row r="34" spans="1:15" ht="11.4">
      <c r="A34" s="123" t="s">
        <v>337</v>
      </c>
      <c r="B34" s="95" t="s">
        <v>109</v>
      </c>
      <c r="C34" s="96">
        <f t="shared" ref="C34:L34" si="24">C10+C22</f>
        <v>18786961</v>
      </c>
      <c r="D34" s="96">
        <f t="shared" si="24"/>
        <v>19035396</v>
      </c>
      <c r="E34" s="96">
        <f t="shared" si="24"/>
        <v>17136718</v>
      </c>
      <c r="F34" s="96">
        <f t="shared" si="24"/>
        <v>16927285</v>
      </c>
      <c r="G34" s="96">
        <f t="shared" si="24"/>
        <v>15331741</v>
      </c>
      <c r="H34" s="96">
        <f t="shared" si="24"/>
        <v>15011092</v>
      </c>
      <c r="I34" s="96">
        <f t="shared" si="24"/>
        <v>14645635</v>
      </c>
      <c r="J34" s="96">
        <f t="shared" si="24"/>
        <v>14588710</v>
      </c>
      <c r="K34" s="96">
        <f t="shared" si="24"/>
        <v>15124358</v>
      </c>
      <c r="L34" s="96">
        <f t="shared" si="24"/>
        <v>15431541</v>
      </c>
      <c r="M34" s="96">
        <f>M10+M22</f>
        <v>14193187</v>
      </c>
      <c r="N34" s="96">
        <f t="shared" ref="N34:O34" si="25">N10+N22</f>
        <v>14274366</v>
      </c>
      <c r="O34" s="96">
        <f t="shared" si="25"/>
        <v>14791886</v>
      </c>
    </row>
    <row r="35" spans="1:15" ht="11.4">
      <c r="A35" s="123" t="s">
        <v>272</v>
      </c>
      <c r="B35" s="95" t="s">
        <v>106</v>
      </c>
      <c r="C35" s="96">
        <f t="shared" ref="C35:L35" si="26">C11+C23</f>
        <v>3180132</v>
      </c>
      <c r="D35" s="96">
        <f t="shared" si="26"/>
        <v>3420814</v>
      </c>
      <c r="E35" s="96">
        <f t="shared" si="26"/>
        <v>3184430</v>
      </c>
      <c r="F35" s="96">
        <f t="shared" si="26"/>
        <v>3409804</v>
      </c>
      <c r="G35" s="96">
        <f t="shared" si="26"/>
        <v>4580967</v>
      </c>
      <c r="H35" s="96">
        <f t="shared" si="26"/>
        <v>4346778</v>
      </c>
      <c r="I35" s="96">
        <f t="shared" si="26"/>
        <v>4613088</v>
      </c>
      <c r="J35" s="96">
        <f t="shared" si="26"/>
        <v>4469618</v>
      </c>
      <c r="K35" s="96">
        <f t="shared" si="26"/>
        <v>4355202</v>
      </c>
      <c r="L35" s="96">
        <f t="shared" si="26"/>
        <v>4133186</v>
      </c>
      <c r="M35" s="96">
        <f>M11+M23</f>
        <v>5091156</v>
      </c>
      <c r="N35" s="96">
        <f t="shared" ref="N35:O35" si="27">N11+N23</f>
        <v>5179636</v>
      </c>
      <c r="O35" s="96">
        <f t="shared" si="27"/>
        <v>5106011</v>
      </c>
    </row>
    <row r="36" spans="1:15" ht="11.4">
      <c r="A36" s="123" t="s">
        <v>338</v>
      </c>
      <c r="B36" s="95" t="s">
        <v>339</v>
      </c>
      <c r="C36" s="96">
        <f t="shared" ref="C36:L36" si="28">C12+C24</f>
        <v>2599587</v>
      </c>
      <c r="D36" s="96">
        <f t="shared" si="28"/>
        <v>3001279</v>
      </c>
      <c r="E36" s="96">
        <f t="shared" si="28"/>
        <v>3492553</v>
      </c>
      <c r="F36" s="96">
        <f t="shared" si="28"/>
        <v>3647555</v>
      </c>
      <c r="G36" s="96">
        <f t="shared" si="28"/>
        <v>3163910</v>
      </c>
      <c r="H36" s="96">
        <f t="shared" si="28"/>
        <v>3180442</v>
      </c>
      <c r="I36" s="96">
        <f t="shared" si="28"/>
        <v>2897034</v>
      </c>
      <c r="J36" s="96">
        <f t="shared" si="28"/>
        <v>2847030</v>
      </c>
      <c r="K36" s="96">
        <f t="shared" si="28"/>
        <v>2698802</v>
      </c>
      <c r="L36" s="96">
        <f t="shared" si="28"/>
        <v>2615735</v>
      </c>
      <c r="M36" s="96">
        <f>M12+M24</f>
        <v>2371728</v>
      </c>
      <c r="N36" s="96">
        <f t="shared" ref="N36:O36" si="29">N12+N24</f>
        <v>2225914</v>
      </c>
      <c r="O36" s="96">
        <f t="shared" si="29"/>
        <v>2109634</v>
      </c>
    </row>
    <row r="37" spans="1:15" ht="11.4">
      <c r="A37" s="123" t="s">
        <v>110</v>
      </c>
      <c r="B37" s="95" t="s">
        <v>340</v>
      </c>
      <c r="C37" s="96">
        <f t="shared" ref="C37:L37" si="30">C13+C25</f>
        <v>235836</v>
      </c>
      <c r="D37" s="96">
        <f t="shared" si="30"/>
        <v>206374</v>
      </c>
      <c r="E37" s="96">
        <f t="shared" si="30"/>
        <v>188266</v>
      </c>
      <c r="F37" s="96">
        <f t="shared" si="30"/>
        <v>187230</v>
      </c>
      <c r="G37" s="96">
        <f t="shared" si="30"/>
        <v>175039</v>
      </c>
      <c r="H37" s="96">
        <f t="shared" si="30"/>
        <v>169175</v>
      </c>
      <c r="I37" s="96">
        <f t="shared" si="30"/>
        <v>166048</v>
      </c>
      <c r="J37" s="96">
        <f t="shared" si="30"/>
        <v>164319</v>
      </c>
      <c r="K37" s="96">
        <f t="shared" si="30"/>
        <v>156177</v>
      </c>
      <c r="L37" s="96">
        <f t="shared" si="30"/>
        <v>153428</v>
      </c>
      <c r="M37" s="96">
        <f>M13+M25</f>
        <v>180076</v>
      </c>
      <c r="N37" s="96">
        <f t="shared" ref="N37:O37" si="31">N13+N25</f>
        <v>176962</v>
      </c>
      <c r="O37" s="96">
        <f t="shared" si="31"/>
        <v>182627</v>
      </c>
    </row>
    <row r="38" spans="1:15" ht="11.4">
      <c r="A38" s="122" t="s">
        <v>314</v>
      </c>
      <c r="B38" s="93" t="s">
        <v>148</v>
      </c>
      <c r="C38" s="94">
        <f>C28+C33</f>
        <v>54246012</v>
      </c>
      <c r="D38" s="94">
        <f t="shared" ref="D38:L38" si="32">D28+D33</f>
        <v>56684484</v>
      </c>
      <c r="E38" s="94">
        <f t="shared" si="32"/>
        <v>55844522</v>
      </c>
      <c r="F38" s="94">
        <f t="shared" si="32"/>
        <v>56518126</v>
      </c>
      <c r="G38" s="94">
        <f t="shared" si="32"/>
        <v>55703480</v>
      </c>
      <c r="H38" s="94">
        <f t="shared" si="32"/>
        <v>55995884</v>
      </c>
      <c r="I38" s="94">
        <f t="shared" si="32"/>
        <v>56215422</v>
      </c>
      <c r="J38" s="94">
        <f t="shared" si="32"/>
        <v>56272609</v>
      </c>
      <c r="K38" s="94">
        <f t="shared" si="32"/>
        <v>57028409</v>
      </c>
      <c r="L38" s="94">
        <f t="shared" si="32"/>
        <v>57833253</v>
      </c>
      <c r="M38" s="94">
        <f>M28+M33</f>
        <v>58228178</v>
      </c>
      <c r="N38" s="94">
        <f t="shared" ref="N38:O38" si="33">N28+N33</f>
        <v>58150633</v>
      </c>
      <c r="O38" s="94">
        <f t="shared" si="33"/>
        <v>58271811</v>
      </c>
    </row>
    <row r="40" spans="1:1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F15"/>
  <sheetViews>
    <sheetView zoomScaleNormal="100" workbookViewId="0">
      <pane xSplit="2" ySplit="2" topLeftCell="X3" activePane="bottomRight" state="frozen"/>
      <selection pane="topRight" activeCell="C1" sqref="C1"/>
      <selection pane="bottomLeft" activeCell="A3" sqref="A3"/>
      <selection pane="bottomRight" activeCell="AC20" sqref="AC20"/>
    </sheetView>
  </sheetViews>
  <sheetFormatPr defaultColWidth="9.28515625" defaultRowHeight="11.4"/>
  <cols>
    <col min="1" max="1" width="27.7109375" style="6" customWidth="1"/>
    <col min="2" max="2" width="43.42578125" style="6" customWidth="1"/>
    <col min="3" max="25" width="12.140625" style="6" customWidth="1"/>
    <col min="26" max="26" width="9.28515625" style="6"/>
    <col min="27" max="27" width="8.85546875" style="6" bestFit="1" customWidth="1"/>
    <col min="28" max="30" width="10.85546875" style="6" customWidth="1"/>
    <col min="31" max="32" width="8.85546875" style="6" bestFit="1" customWidth="1"/>
    <col min="33" max="16384" width="9.28515625" style="6"/>
  </cols>
  <sheetData>
    <row r="1" spans="1:32" ht="12" thickBot="1">
      <c r="C1" s="111" t="s">
        <v>416</v>
      </c>
      <c r="D1" s="111" t="s">
        <v>417</v>
      </c>
      <c r="E1" s="111" t="s">
        <v>418</v>
      </c>
      <c r="F1" s="111" t="s">
        <v>419</v>
      </c>
      <c r="G1" s="111" t="s">
        <v>420</v>
      </c>
      <c r="H1" s="111" t="s">
        <v>421</v>
      </c>
      <c r="I1" s="111" t="s">
        <v>422</v>
      </c>
      <c r="J1" s="111" t="s">
        <v>423</v>
      </c>
      <c r="K1" s="111" t="s">
        <v>424</v>
      </c>
      <c r="L1" s="111" t="s">
        <v>425</v>
      </c>
      <c r="M1" s="111" t="s">
        <v>426</v>
      </c>
      <c r="N1" s="111" t="s">
        <v>427</v>
      </c>
      <c r="O1" s="111" t="s">
        <v>428</v>
      </c>
      <c r="P1" s="111" t="s">
        <v>429</v>
      </c>
      <c r="Q1" s="111" t="s">
        <v>430</v>
      </c>
      <c r="R1" s="111" t="s">
        <v>431</v>
      </c>
      <c r="S1" s="111" t="s">
        <v>432</v>
      </c>
      <c r="T1" s="111" t="s">
        <v>433</v>
      </c>
      <c r="U1" s="111" t="s">
        <v>434</v>
      </c>
      <c r="V1" s="111" t="s">
        <v>435</v>
      </c>
      <c r="W1" s="111" t="s">
        <v>436</v>
      </c>
      <c r="X1" s="111" t="s">
        <v>437</v>
      </c>
      <c r="Y1" s="111" t="s">
        <v>438</v>
      </c>
      <c r="Z1" s="111" t="s">
        <v>439</v>
      </c>
      <c r="AA1" s="111" t="s">
        <v>440</v>
      </c>
      <c r="AB1" s="111" t="s">
        <v>441</v>
      </c>
      <c r="AC1" s="111" t="s">
        <v>442</v>
      </c>
      <c r="AD1" s="111" t="s">
        <v>472</v>
      </c>
      <c r="AE1" s="111" t="s">
        <v>501</v>
      </c>
      <c r="AF1" s="111" t="s">
        <v>503</v>
      </c>
    </row>
    <row r="2" spans="1:32" ht="12" thickBot="1">
      <c r="A2" s="6" t="s">
        <v>321</v>
      </c>
      <c r="B2" s="5" t="s">
        <v>149</v>
      </c>
      <c r="C2" s="111" t="s">
        <v>443</v>
      </c>
      <c r="D2" s="111" t="s">
        <v>444</v>
      </c>
      <c r="E2" s="111" t="s">
        <v>445</v>
      </c>
      <c r="F2" s="111" t="s">
        <v>446</v>
      </c>
      <c r="G2" s="111" t="s">
        <v>447</v>
      </c>
      <c r="H2" s="111" t="s">
        <v>448</v>
      </c>
      <c r="I2" s="111" t="s">
        <v>449</v>
      </c>
      <c r="J2" s="111" t="s">
        <v>450</v>
      </c>
      <c r="K2" s="111" t="s">
        <v>451</v>
      </c>
      <c r="L2" s="111" t="s">
        <v>452</v>
      </c>
      <c r="M2" s="111" t="s">
        <v>453</v>
      </c>
      <c r="N2" s="111" t="s">
        <v>454</v>
      </c>
      <c r="O2" s="111" t="s">
        <v>455</v>
      </c>
      <c r="P2" s="111" t="s">
        <v>456</v>
      </c>
      <c r="Q2" s="111" t="s">
        <v>457</v>
      </c>
      <c r="R2" s="111" t="s">
        <v>458</v>
      </c>
      <c r="S2" s="111" t="s">
        <v>459</v>
      </c>
      <c r="T2" s="111" t="s">
        <v>460</v>
      </c>
      <c r="U2" s="111" t="s">
        <v>461</v>
      </c>
      <c r="V2" s="111" t="s">
        <v>462</v>
      </c>
      <c r="W2" s="111" t="s">
        <v>463</v>
      </c>
      <c r="X2" s="111" t="s">
        <v>464</v>
      </c>
      <c r="Y2" s="111" t="s">
        <v>465</v>
      </c>
      <c r="Z2" s="111" t="s">
        <v>466</v>
      </c>
      <c r="AA2" s="111" t="s">
        <v>467</v>
      </c>
      <c r="AB2" s="111" t="s">
        <v>468</v>
      </c>
      <c r="AC2" s="111" t="s">
        <v>469</v>
      </c>
      <c r="AD2" s="111" t="s">
        <v>471</v>
      </c>
      <c r="AE2" s="111" t="s">
        <v>502</v>
      </c>
      <c r="AF2" s="111" t="s">
        <v>504</v>
      </c>
    </row>
    <row r="3" spans="1:32">
      <c r="A3" s="6" t="s">
        <v>306</v>
      </c>
      <c r="B3" s="31" t="s">
        <v>140</v>
      </c>
      <c r="C3" s="61">
        <f t="shared" ref="C3:S3" si="0">SUM(C4:C8)</f>
        <v>18602544</v>
      </c>
      <c r="D3" s="61">
        <f t="shared" si="0"/>
        <v>18958037</v>
      </c>
      <c r="E3" s="61">
        <f t="shared" si="0"/>
        <v>20313847</v>
      </c>
      <c r="F3" s="61">
        <f t="shared" si="0"/>
        <v>21409075</v>
      </c>
      <c r="G3" s="61">
        <f t="shared" si="0"/>
        <v>23293384.226353612</v>
      </c>
      <c r="H3" s="61">
        <f t="shared" si="0"/>
        <v>24557685</v>
      </c>
      <c r="I3" s="61">
        <f t="shared" si="0"/>
        <v>23926333</v>
      </c>
      <c r="J3" s="61">
        <f t="shared" si="0"/>
        <v>32035389</v>
      </c>
      <c r="K3" s="61">
        <f t="shared" si="0"/>
        <v>32216158</v>
      </c>
      <c r="L3" s="61">
        <f t="shared" si="0"/>
        <v>31817376</v>
      </c>
      <c r="M3" s="61">
        <f t="shared" si="0"/>
        <v>33641692</v>
      </c>
      <c r="N3" s="61">
        <f t="shared" si="0"/>
        <v>36572276</v>
      </c>
      <c r="O3" s="61">
        <f t="shared" si="0"/>
        <v>38203834</v>
      </c>
      <c r="P3" s="61">
        <f t="shared" si="0"/>
        <v>39265678</v>
      </c>
      <c r="Q3" s="61">
        <f t="shared" si="0"/>
        <v>40942402</v>
      </c>
      <c r="R3" s="61">
        <f t="shared" si="0"/>
        <v>43944874</v>
      </c>
      <c r="S3" s="61">
        <f t="shared" si="0"/>
        <v>45124679</v>
      </c>
      <c r="T3" s="61">
        <f t="shared" ref="T3:Y3" si="1">SUM(T4:T8)</f>
        <v>45421557</v>
      </c>
      <c r="U3" s="61">
        <f t="shared" si="1"/>
        <v>46641689</v>
      </c>
      <c r="V3" s="61">
        <f t="shared" si="1"/>
        <v>46603066</v>
      </c>
      <c r="W3" s="61">
        <f t="shared" si="1"/>
        <v>47261859</v>
      </c>
      <c r="X3" s="61">
        <f t="shared" si="1"/>
        <v>46451100</v>
      </c>
      <c r="Y3" s="61">
        <f t="shared" si="1"/>
        <v>45600476</v>
      </c>
      <c r="Z3" s="91">
        <f t="shared" ref="Z3:AE3" si="2">SUM(Z4:Z8)</f>
        <v>45702199</v>
      </c>
      <c r="AA3" s="91">
        <f t="shared" si="2"/>
        <v>46903018</v>
      </c>
      <c r="AB3" s="91">
        <f t="shared" si="2"/>
        <v>46450790</v>
      </c>
      <c r="AC3" s="91">
        <f t="shared" si="2"/>
        <v>46216622</v>
      </c>
      <c r="AD3" s="91">
        <f t="shared" si="2"/>
        <v>49020278</v>
      </c>
      <c r="AE3" s="91">
        <f t="shared" si="2"/>
        <v>49334784</v>
      </c>
      <c r="AF3" s="91">
        <f t="shared" ref="AF3" si="3">SUM(AF4:AF8)</f>
        <v>49590907</v>
      </c>
    </row>
    <row r="4" spans="1:32">
      <c r="A4" s="6" t="s">
        <v>316</v>
      </c>
      <c r="B4" s="33" t="s">
        <v>150</v>
      </c>
      <c r="C4" s="62">
        <v>8191850</v>
      </c>
      <c r="D4" s="62">
        <v>8260354</v>
      </c>
      <c r="E4" s="62">
        <v>8326825</v>
      </c>
      <c r="F4" s="62">
        <v>8485256</v>
      </c>
      <c r="G4" s="62">
        <v>8999422.0133926105</v>
      </c>
      <c r="H4" s="62">
        <v>9895455</v>
      </c>
      <c r="I4" s="62">
        <v>10868443</v>
      </c>
      <c r="J4" s="62">
        <v>17264837</v>
      </c>
      <c r="K4" s="62">
        <v>18189512</v>
      </c>
      <c r="L4" s="62">
        <v>19024759</v>
      </c>
      <c r="M4" s="62">
        <v>20181856</v>
      </c>
      <c r="N4" s="62">
        <v>22584687</v>
      </c>
      <c r="O4" s="62">
        <v>23415405</v>
      </c>
      <c r="P4" s="62">
        <v>25148810</v>
      </c>
      <c r="Q4" s="62">
        <v>26864801</v>
      </c>
      <c r="R4" s="62">
        <v>28546686</v>
      </c>
      <c r="S4" s="62">
        <v>29142048</v>
      </c>
      <c r="T4" s="62">
        <v>29051784</v>
      </c>
      <c r="U4" s="62">
        <v>30327179</v>
      </c>
      <c r="V4" s="62">
        <v>30700187</v>
      </c>
      <c r="W4" s="62">
        <v>32402580</v>
      </c>
      <c r="X4" s="62">
        <v>33918564</v>
      </c>
      <c r="Y4" s="62">
        <v>35556633</v>
      </c>
      <c r="Z4" s="15">
        <v>37173915</v>
      </c>
      <c r="AA4" s="15">
        <v>38781717</v>
      </c>
      <c r="AB4" s="15">
        <v>39441799</v>
      </c>
      <c r="AC4" s="15">
        <v>39839464</v>
      </c>
      <c r="AD4" s="15">
        <v>42610912</v>
      </c>
      <c r="AE4" s="15">
        <v>41674924</v>
      </c>
      <c r="AF4" s="15">
        <v>38268398</v>
      </c>
    </row>
    <row r="5" spans="1:32">
      <c r="A5" s="6" t="s">
        <v>317</v>
      </c>
      <c r="B5" s="33" t="s">
        <v>151</v>
      </c>
      <c r="C5" s="62">
        <v>9996333</v>
      </c>
      <c r="D5" s="62">
        <v>10366322</v>
      </c>
      <c r="E5" s="62">
        <v>11669398</v>
      </c>
      <c r="F5" s="62">
        <v>12666033</v>
      </c>
      <c r="G5" s="62">
        <v>14023331.1339202</v>
      </c>
      <c r="H5" s="62">
        <v>14356779</v>
      </c>
      <c r="I5" s="62">
        <v>12599010</v>
      </c>
      <c r="J5" s="62">
        <v>13908933</v>
      </c>
      <c r="K5" s="62">
        <v>12919108</v>
      </c>
      <c r="L5" s="62">
        <v>11592577</v>
      </c>
      <c r="M5" s="62">
        <v>11948221</v>
      </c>
      <c r="N5" s="62">
        <v>12134722</v>
      </c>
      <c r="O5" s="62">
        <v>12640201</v>
      </c>
      <c r="P5" s="62">
        <v>11685081</v>
      </c>
      <c r="Q5" s="62">
        <v>11550259</v>
      </c>
      <c r="R5" s="62">
        <v>12777384</v>
      </c>
      <c r="S5" s="62">
        <v>13358433</v>
      </c>
      <c r="T5" s="62">
        <v>13555123</v>
      </c>
      <c r="U5" s="62">
        <v>13453463</v>
      </c>
      <c r="V5" s="62">
        <v>13333981</v>
      </c>
      <c r="W5" s="62">
        <v>12419062</v>
      </c>
      <c r="X5" s="62">
        <v>10241458</v>
      </c>
      <c r="Y5" s="62">
        <v>8205114</v>
      </c>
      <c r="Z5" s="15">
        <v>7222055</v>
      </c>
      <c r="AA5" s="15">
        <v>6851821</v>
      </c>
      <c r="AB5" s="15">
        <v>5929408</v>
      </c>
      <c r="AC5" s="15">
        <v>5509313</v>
      </c>
      <c r="AD5" s="15">
        <v>5654614</v>
      </c>
      <c r="AE5" s="15">
        <v>6846720</v>
      </c>
      <c r="AF5" s="15">
        <v>10498711</v>
      </c>
    </row>
    <row r="6" spans="1:32">
      <c r="A6" s="6" t="s">
        <v>318</v>
      </c>
      <c r="B6" s="33" t="s">
        <v>152</v>
      </c>
      <c r="C6" s="62">
        <v>154229</v>
      </c>
      <c r="D6" s="62">
        <v>148347</v>
      </c>
      <c r="E6" s="62">
        <v>136421</v>
      </c>
      <c r="F6" s="62">
        <v>54280</v>
      </c>
      <c r="G6" s="62">
        <v>64252.117758199995</v>
      </c>
      <c r="H6" s="62">
        <v>83652</v>
      </c>
      <c r="I6" s="62">
        <v>270497</v>
      </c>
      <c r="J6" s="62">
        <v>628246</v>
      </c>
      <c r="K6" s="62">
        <f>893242</f>
        <v>893242</v>
      </c>
      <c r="L6" s="62">
        <v>1046922</v>
      </c>
      <c r="M6" s="62">
        <v>1269662</v>
      </c>
      <c r="N6" s="62">
        <v>1615605</v>
      </c>
      <c r="O6" s="62">
        <f>1838750+49609</f>
        <v>1888359</v>
      </c>
      <c r="P6" s="62">
        <v>2156665</v>
      </c>
      <c r="Q6" s="62">
        <v>2269996</v>
      </c>
      <c r="R6" s="62">
        <v>2380331</v>
      </c>
      <c r="S6" s="62">
        <v>2352307</v>
      </c>
      <c r="T6" s="62">
        <v>2549192</v>
      </c>
      <c r="U6" s="62">
        <v>2599935</v>
      </c>
      <c r="V6" s="62">
        <v>2318064</v>
      </c>
      <c r="W6" s="62">
        <v>2191868</v>
      </c>
      <c r="X6" s="62">
        <v>2009829</v>
      </c>
      <c r="Y6" s="62">
        <v>1628737</v>
      </c>
      <c r="Z6" s="15">
        <v>1085210</v>
      </c>
      <c r="AA6" s="15">
        <v>1039805</v>
      </c>
      <c r="AB6" s="15">
        <v>846067</v>
      </c>
      <c r="AC6" s="15">
        <v>636592</v>
      </c>
      <c r="AD6" s="15">
        <v>514433</v>
      </c>
      <c r="AE6" s="15">
        <v>549993</v>
      </c>
      <c r="AF6" s="15">
        <v>538235</v>
      </c>
    </row>
    <row r="7" spans="1:32">
      <c r="A7" s="6" t="s">
        <v>319</v>
      </c>
      <c r="B7" s="33" t="s">
        <v>153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80888</v>
      </c>
      <c r="N7" s="62">
        <v>81500</v>
      </c>
      <c r="O7" s="62">
        <v>80872</v>
      </c>
      <c r="P7" s="62">
        <v>81476</v>
      </c>
      <c r="Q7" s="62">
        <v>80880</v>
      </c>
      <c r="R7" s="62">
        <v>81484</v>
      </c>
      <c r="S7" s="62">
        <v>80872</v>
      </c>
      <c r="T7" s="62">
        <v>81468</v>
      </c>
      <c r="U7" s="62">
        <v>80888</v>
      </c>
      <c r="V7" s="62">
        <v>81492</v>
      </c>
      <c r="W7" s="62">
        <v>80880</v>
      </c>
      <c r="X7" s="62">
        <v>81476</v>
      </c>
      <c r="Y7" s="62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</row>
    <row r="8" spans="1:32">
      <c r="A8" s="6" t="s">
        <v>181</v>
      </c>
      <c r="B8" s="33" t="s">
        <v>31</v>
      </c>
      <c r="C8" s="62">
        <v>260132</v>
      </c>
      <c r="D8" s="62">
        <v>183014</v>
      </c>
      <c r="E8" s="62">
        <v>181203</v>
      </c>
      <c r="F8" s="62">
        <v>203506</v>
      </c>
      <c r="G8" s="62">
        <v>206378.96128259998</v>
      </c>
      <c r="H8" s="62">
        <v>221799</v>
      </c>
      <c r="I8" s="62">
        <v>188383</v>
      </c>
      <c r="J8" s="62">
        <v>233373</v>
      </c>
      <c r="K8" s="62">
        <v>214296</v>
      </c>
      <c r="L8" s="62">
        <v>153118</v>
      </c>
      <c r="M8" s="62">
        <v>161065</v>
      </c>
      <c r="N8" s="62">
        <v>155762</v>
      </c>
      <c r="O8" s="62">
        <v>178997</v>
      </c>
      <c r="P8" s="62">
        <v>193646</v>
      </c>
      <c r="Q8" s="62">
        <v>176466</v>
      </c>
      <c r="R8" s="62">
        <v>158989</v>
      </c>
      <c r="S8" s="62">
        <v>191019</v>
      </c>
      <c r="T8" s="62">
        <v>183990</v>
      </c>
      <c r="U8" s="62">
        <v>180224</v>
      </c>
      <c r="V8" s="62">
        <v>169342</v>
      </c>
      <c r="W8" s="62">
        <v>167469</v>
      </c>
      <c r="X8" s="62">
        <v>199773</v>
      </c>
      <c r="Y8" s="62">
        <v>209992</v>
      </c>
      <c r="Z8" s="15">
        <v>221019</v>
      </c>
      <c r="AA8" s="15">
        <v>229675</v>
      </c>
      <c r="AB8" s="15">
        <v>233516</v>
      </c>
      <c r="AC8" s="15">
        <v>231253</v>
      </c>
      <c r="AD8" s="15">
        <v>240319</v>
      </c>
      <c r="AE8" s="15">
        <v>263147</v>
      </c>
      <c r="AF8" s="15">
        <v>285563</v>
      </c>
    </row>
    <row r="9" spans="1:32">
      <c r="A9" s="6" t="s">
        <v>310</v>
      </c>
      <c r="B9" s="31" t="s">
        <v>144</v>
      </c>
      <c r="C9" s="61">
        <f t="shared" ref="C9:S9" si="4">SUM(C10:C14)</f>
        <v>9197307</v>
      </c>
      <c r="D9" s="61">
        <f t="shared" si="4"/>
        <v>10816580</v>
      </c>
      <c r="E9" s="61">
        <f t="shared" si="4"/>
        <v>11116769</v>
      </c>
      <c r="F9" s="61">
        <f t="shared" si="4"/>
        <v>12254467</v>
      </c>
      <c r="G9" s="61">
        <f t="shared" si="4"/>
        <v>12508856.6716509</v>
      </c>
      <c r="H9" s="61">
        <f t="shared" si="4"/>
        <v>13432244</v>
      </c>
      <c r="I9" s="61">
        <f t="shared" si="4"/>
        <v>13505895</v>
      </c>
      <c r="J9" s="61">
        <f t="shared" si="4"/>
        <v>19333312</v>
      </c>
      <c r="K9" s="61">
        <f>SUM(K10:K14)</f>
        <v>18324394</v>
      </c>
      <c r="L9" s="61">
        <f t="shared" si="4"/>
        <v>19903194</v>
      </c>
      <c r="M9" s="61">
        <f t="shared" si="4"/>
        <v>21128825</v>
      </c>
      <c r="N9" s="61">
        <f t="shared" si="4"/>
        <v>21084743</v>
      </c>
      <c r="O9" s="61">
        <f t="shared" si="4"/>
        <v>20870735</v>
      </c>
      <c r="P9" s="61">
        <f t="shared" si="4"/>
        <v>20379496</v>
      </c>
      <c r="Q9" s="61">
        <f t="shared" si="4"/>
        <v>19156394</v>
      </c>
      <c r="R9" s="61">
        <f t="shared" si="4"/>
        <v>18490711</v>
      </c>
      <c r="S9" s="61">
        <f t="shared" si="4"/>
        <v>17201884</v>
      </c>
      <c r="T9" s="61">
        <f t="shared" ref="T9:Y9" si="5">SUM(T10:T14)</f>
        <v>19464288</v>
      </c>
      <c r="U9" s="61">
        <f t="shared" si="5"/>
        <v>18097732</v>
      </c>
      <c r="V9" s="61">
        <f t="shared" si="5"/>
        <v>18396193</v>
      </c>
      <c r="W9" s="61">
        <f t="shared" si="5"/>
        <v>17334157</v>
      </c>
      <c r="X9" s="61">
        <f t="shared" si="5"/>
        <v>19414341</v>
      </c>
      <c r="Y9" s="61">
        <f t="shared" si="5"/>
        <v>20267657</v>
      </c>
      <c r="Z9" s="91">
        <f t="shared" ref="Z9:AE9" si="6">SUM(Z10:Z14)</f>
        <v>21173708</v>
      </c>
      <c r="AA9" s="91">
        <f t="shared" si="6"/>
        <v>21718698</v>
      </c>
      <c r="AB9" s="91">
        <f t="shared" si="6"/>
        <v>21382046</v>
      </c>
      <c r="AC9" s="91">
        <f t="shared" si="6"/>
        <v>20737231</v>
      </c>
      <c r="AD9" s="91">
        <f t="shared" si="6"/>
        <v>22985437</v>
      </c>
      <c r="AE9" s="91">
        <f t="shared" si="6"/>
        <v>21444965</v>
      </c>
      <c r="AF9" s="91">
        <f t="shared" ref="AF9" si="7">SUM(AF10:AF14)</f>
        <v>21150210</v>
      </c>
    </row>
    <row r="10" spans="1:32">
      <c r="A10" s="6" t="s">
        <v>316</v>
      </c>
      <c r="B10" s="33" t="s">
        <v>150</v>
      </c>
      <c r="C10" s="62">
        <v>2963162</v>
      </c>
      <c r="D10" s="62">
        <v>3257779</v>
      </c>
      <c r="E10" s="62">
        <v>3471940</v>
      </c>
      <c r="F10" s="62">
        <v>3991011</v>
      </c>
      <c r="G10" s="62">
        <v>3689574.0824199999</v>
      </c>
      <c r="H10" s="62">
        <v>4056452</v>
      </c>
      <c r="I10" s="62">
        <v>4442094</v>
      </c>
      <c r="J10" s="62">
        <v>8526252</v>
      </c>
      <c r="K10" s="62">
        <v>8250297</v>
      </c>
      <c r="L10" s="62">
        <v>8368459</v>
      </c>
      <c r="M10" s="62">
        <v>8489445</v>
      </c>
      <c r="N10" s="62">
        <v>9495558</v>
      </c>
      <c r="O10" s="62">
        <v>8591274</v>
      </c>
      <c r="P10" s="62">
        <v>8862256</v>
      </c>
      <c r="Q10" s="62">
        <v>9196028</v>
      </c>
      <c r="R10" s="62">
        <v>10130389</v>
      </c>
      <c r="S10" s="62">
        <v>9136707</v>
      </c>
      <c r="T10" s="62">
        <v>9886026</v>
      </c>
      <c r="U10" s="62">
        <v>9795180</v>
      </c>
      <c r="V10" s="62">
        <v>11153883</v>
      </c>
      <c r="W10" s="62">
        <v>11080166</v>
      </c>
      <c r="X10" s="62">
        <v>14248987</v>
      </c>
      <c r="Y10" s="62">
        <v>14919497</v>
      </c>
      <c r="Z10" s="15">
        <v>16424096</v>
      </c>
      <c r="AA10" s="15">
        <v>16944259</v>
      </c>
      <c r="AB10" s="15">
        <v>17567049</v>
      </c>
      <c r="AC10" s="15">
        <v>16902137</v>
      </c>
      <c r="AD10" s="15">
        <v>17264882</v>
      </c>
      <c r="AE10" s="15">
        <v>15251919</v>
      </c>
      <c r="AF10" s="15">
        <v>14005816</v>
      </c>
    </row>
    <row r="11" spans="1:32">
      <c r="A11" s="6" t="s">
        <v>317</v>
      </c>
      <c r="B11" s="33" t="s">
        <v>151</v>
      </c>
      <c r="C11" s="62">
        <v>4400797</v>
      </c>
      <c r="D11" s="62">
        <v>5372612</v>
      </c>
      <c r="E11" s="62">
        <v>5310082</v>
      </c>
      <c r="F11" s="62">
        <v>5869683</v>
      </c>
      <c r="G11" s="62">
        <v>6363671.3399107</v>
      </c>
      <c r="H11" s="62">
        <v>6975188</v>
      </c>
      <c r="I11" s="62">
        <v>6657716</v>
      </c>
      <c r="J11" s="62">
        <v>8379289</v>
      </c>
      <c r="K11" s="62">
        <v>7894824</v>
      </c>
      <c r="L11" s="62">
        <v>9612896</v>
      </c>
      <c r="M11" s="62">
        <v>10539333</v>
      </c>
      <c r="N11" s="62">
        <v>9740352</v>
      </c>
      <c r="O11" s="62">
        <v>10689313</v>
      </c>
      <c r="P11" s="62">
        <v>10172248</v>
      </c>
      <c r="Q11" s="62">
        <v>8914238</v>
      </c>
      <c r="R11" s="62">
        <v>7489126</v>
      </c>
      <c r="S11" s="62">
        <v>7326379</v>
      </c>
      <c r="T11" s="62">
        <v>9041361</v>
      </c>
      <c r="U11" s="62">
        <v>7890368</v>
      </c>
      <c r="V11" s="62">
        <v>6854745</v>
      </c>
      <c r="W11" s="62">
        <v>5815928</v>
      </c>
      <c r="X11" s="62">
        <v>4692396</v>
      </c>
      <c r="Y11" s="62">
        <v>4076001</v>
      </c>
      <c r="Z11" s="15">
        <v>4336147</v>
      </c>
      <c r="AA11" s="15">
        <v>4039460</v>
      </c>
      <c r="AB11" s="15">
        <v>3517718</v>
      </c>
      <c r="AC11" s="15">
        <v>3059226</v>
      </c>
      <c r="AD11" s="15">
        <v>5415967</v>
      </c>
      <c r="AE11" s="15">
        <v>4587278</v>
      </c>
      <c r="AF11" s="15">
        <v>5724079</v>
      </c>
    </row>
    <row r="12" spans="1:32">
      <c r="A12" s="6" t="s">
        <v>318</v>
      </c>
      <c r="B12" s="33" t="s">
        <v>152</v>
      </c>
      <c r="C12" s="62">
        <v>1704367</v>
      </c>
      <c r="D12" s="62">
        <v>2031085</v>
      </c>
      <c r="E12" s="62">
        <v>2134494</v>
      </c>
      <c r="F12" s="62">
        <v>2204950</v>
      </c>
      <c r="G12" s="62">
        <v>2284479.2493202002</v>
      </c>
      <c r="H12" s="62">
        <v>2254446</v>
      </c>
      <c r="I12" s="62">
        <v>2295059</v>
      </c>
      <c r="J12" s="62">
        <v>1910380</v>
      </c>
      <c r="K12" s="62">
        <f>1907874+23658-231748</f>
        <v>1699784</v>
      </c>
      <c r="L12" s="62">
        <f>1651242+32046</f>
        <v>1683288</v>
      </c>
      <c r="M12" s="62">
        <f>1641930+38987</f>
        <v>1680917</v>
      </c>
      <c r="N12" s="62">
        <v>1455323</v>
      </c>
      <c r="O12" s="62">
        <f>1200814+1271</f>
        <v>1202085</v>
      </c>
      <c r="P12" s="62">
        <v>876672</v>
      </c>
      <c r="Q12" s="62">
        <v>637058</v>
      </c>
      <c r="R12" s="62">
        <v>429148</v>
      </c>
      <c r="S12" s="62">
        <v>284089</v>
      </c>
      <c r="T12" s="62">
        <v>82543</v>
      </c>
      <c r="U12" s="62">
        <v>36026</v>
      </c>
      <c r="V12" s="62">
        <v>17773</v>
      </c>
      <c r="W12" s="62">
        <v>10312</v>
      </c>
      <c r="X12" s="62">
        <v>10239</v>
      </c>
      <c r="Y12" s="62">
        <v>6986</v>
      </c>
      <c r="Z12" s="15">
        <v>2450</v>
      </c>
      <c r="AA12" s="15">
        <v>2552</v>
      </c>
      <c r="AB12" s="15">
        <v>2605</v>
      </c>
      <c r="AC12" s="15">
        <v>1789</v>
      </c>
      <c r="AD12" s="15">
        <v>1838</v>
      </c>
      <c r="AE12" s="15">
        <v>2044</v>
      </c>
      <c r="AF12" s="15">
        <v>2046</v>
      </c>
    </row>
    <row r="13" spans="1:32">
      <c r="A13" s="6" t="s">
        <v>319</v>
      </c>
      <c r="B13" s="33" t="s">
        <v>153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230046</v>
      </c>
      <c r="K13" s="62">
        <v>231748</v>
      </c>
      <c r="L13" s="62">
        <v>0</v>
      </c>
      <c r="M13" s="62">
        <v>147567</v>
      </c>
      <c r="N13" s="62">
        <v>148684</v>
      </c>
      <c r="O13" s="62">
        <v>147538</v>
      </c>
      <c r="P13" s="62">
        <v>148640</v>
      </c>
      <c r="Q13" s="62">
        <v>147553</v>
      </c>
      <c r="R13" s="62">
        <v>163883</v>
      </c>
      <c r="S13" s="62">
        <v>162847</v>
      </c>
      <c r="T13" s="62">
        <v>164016</v>
      </c>
      <c r="U13" s="62">
        <v>147567</v>
      </c>
      <c r="V13" s="62">
        <v>148669</v>
      </c>
      <c r="W13" s="62">
        <v>147553</v>
      </c>
      <c r="X13" s="62">
        <v>148640</v>
      </c>
      <c r="Y13" s="62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</row>
    <row r="14" spans="1:32">
      <c r="A14" s="6" t="s">
        <v>181</v>
      </c>
      <c r="B14" s="33" t="s">
        <v>31</v>
      </c>
      <c r="C14" s="62">
        <v>128981</v>
      </c>
      <c r="D14" s="62">
        <v>155104</v>
      </c>
      <c r="E14" s="62">
        <v>200253</v>
      </c>
      <c r="F14" s="62">
        <v>188823</v>
      </c>
      <c r="G14" s="62">
        <v>171132</v>
      </c>
      <c r="H14" s="62">
        <v>146158</v>
      </c>
      <c r="I14" s="62">
        <v>111026</v>
      </c>
      <c r="J14" s="62">
        <v>287345</v>
      </c>
      <c r="K14" s="62">
        <v>247741</v>
      </c>
      <c r="L14" s="62">
        <v>238551</v>
      </c>
      <c r="M14" s="62">
        <v>271563</v>
      </c>
      <c r="N14" s="62">
        <v>244826</v>
      </c>
      <c r="O14" s="62">
        <v>240525</v>
      </c>
      <c r="P14" s="62">
        <v>319680</v>
      </c>
      <c r="Q14" s="62">
        <v>261517</v>
      </c>
      <c r="R14" s="62">
        <v>278165</v>
      </c>
      <c r="S14" s="62">
        <v>291862</v>
      </c>
      <c r="T14" s="62">
        <v>290342</v>
      </c>
      <c r="U14" s="62">
        <v>228591</v>
      </c>
      <c r="V14" s="62">
        <v>221123</v>
      </c>
      <c r="W14" s="62">
        <v>280198</v>
      </c>
      <c r="X14" s="62">
        <v>314079</v>
      </c>
      <c r="Y14" s="62">
        <v>1265173</v>
      </c>
      <c r="Z14" s="15">
        <v>411015</v>
      </c>
      <c r="AA14" s="15">
        <v>732427</v>
      </c>
      <c r="AB14" s="15">
        <v>294674</v>
      </c>
      <c r="AC14" s="15">
        <v>774079</v>
      </c>
      <c r="AD14" s="15">
        <v>302750</v>
      </c>
      <c r="AE14" s="15">
        <v>1603724</v>
      </c>
      <c r="AF14" s="15">
        <v>1418269</v>
      </c>
    </row>
    <row r="15" spans="1:32">
      <c r="A15" s="6" t="s">
        <v>320</v>
      </c>
      <c r="B15" s="63" t="s">
        <v>154</v>
      </c>
      <c r="C15" s="64">
        <f t="shared" ref="C15:R15" si="8">C3+C9</f>
        <v>27799851</v>
      </c>
      <c r="D15" s="64">
        <f t="shared" si="8"/>
        <v>29774617</v>
      </c>
      <c r="E15" s="64">
        <f t="shared" si="8"/>
        <v>31430616</v>
      </c>
      <c r="F15" s="64">
        <f t="shared" si="8"/>
        <v>33663542</v>
      </c>
      <c r="G15" s="64">
        <f t="shared" si="8"/>
        <v>35802240.89800451</v>
      </c>
      <c r="H15" s="64">
        <f t="shared" si="8"/>
        <v>37989929</v>
      </c>
      <c r="I15" s="64">
        <f t="shared" si="8"/>
        <v>37432228</v>
      </c>
      <c r="J15" s="64">
        <f t="shared" si="8"/>
        <v>51368701</v>
      </c>
      <c r="K15" s="64">
        <f t="shared" si="8"/>
        <v>50540552</v>
      </c>
      <c r="L15" s="64">
        <f t="shared" si="8"/>
        <v>51720570</v>
      </c>
      <c r="M15" s="64">
        <f t="shared" si="8"/>
        <v>54770517</v>
      </c>
      <c r="N15" s="64">
        <f t="shared" si="8"/>
        <v>57657019</v>
      </c>
      <c r="O15" s="64">
        <f t="shared" si="8"/>
        <v>59074569</v>
      </c>
      <c r="P15" s="64">
        <f t="shared" si="8"/>
        <v>59645174</v>
      </c>
      <c r="Q15" s="64">
        <f t="shared" si="8"/>
        <v>60098796</v>
      </c>
      <c r="R15" s="64">
        <f t="shared" si="8"/>
        <v>62435585</v>
      </c>
      <c r="S15" s="64">
        <f t="shared" ref="S15:Z15" si="9">S3+S9</f>
        <v>62326563</v>
      </c>
      <c r="T15" s="64">
        <f t="shared" si="9"/>
        <v>64885845</v>
      </c>
      <c r="U15" s="64">
        <f t="shared" si="9"/>
        <v>64739421</v>
      </c>
      <c r="V15" s="64">
        <f t="shared" si="9"/>
        <v>64999259</v>
      </c>
      <c r="W15" s="64">
        <f t="shared" si="9"/>
        <v>64596016</v>
      </c>
      <c r="X15" s="64">
        <f t="shared" si="9"/>
        <v>65865441</v>
      </c>
      <c r="Y15" s="64">
        <f t="shared" si="9"/>
        <v>65868133</v>
      </c>
      <c r="Z15" s="92">
        <f t="shared" si="9"/>
        <v>66875907</v>
      </c>
      <c r="AA15" s="92">
        <f t="shared" ref="AA15:AF15" si="10">AA3+AA9</f>
        <v>68621716</v>
      </c>
      <c r="AB15" s="92">
        <f t="shared" si="10"/>
        <v>67832836</v>
      </c>
      <c r="AC15" s="92">
        <f t="shared" si="10"/>
        <v>66953853</v>
      </c>
      <c r="AD15" s="92">
        <f t="shared" si="10"/>
        <v>72005715</v>
      </c>
      <c r="AE15" s="92">
        <f t="shared" si="10"/>
        <v>70779749</v>
      </c>
      <c r="AF15" s="92">
        <f t="shared" si="10"/>
        <v>70741117</v>
      </c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BILANS </vt:lpstr>
      <vt:lpstr>RZiS</vt:lpstr>
      <vt:lpstr>Odsetki</vt:lpstr>
      <vt:lpstr>Prowizje</vt:lpstr>
      <vt:lpstr>Koszty_dz</vt:lpstr>
      <vt:lpstr>Wynik_z_odpisów</vt:lpstr>
      <vt:lpstr>Kredyty</vt:lpstr>
      <vt:lpstr>Kredyty_koszyki</vt:lpstr>
      <vt:lpstr>Zobowiazania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Radosław Warianek</cp:lastModifiedBy>
  <dcterms:created xsi:type="dcterms:W3CDTF">2019-08-23T08:06:24Z</dcterms:created>
  <dcterms:modified xsi:type="dcterms:W3CDTF">2022-08-02T14:37:23Z</dcterms:modified>
</cp:coreProperties>
</file>