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19743\Desktop\Finale q1 21\"/>
    </mc:Choice>
  </mc:AlternateContent>
  <xr:revisionPtr revIDLastSave="0" documentId="13_ncr:1_{116B42ED-A9A4-4B1F-A386-3076768AF3E7}" xr6:coauthVersionLast="45" xr6:coauthVersionMax="45" xr10:uidLastSave="{00000000-0000-0000-0000-000000000000}"/>
  <bookViews>
    <workbookView xWindow="-108" yWindow="-108" windowWidth="23256" windowHeight="12576" tabRatio="714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</sheets>
  <externalReferences>
    <externalReference r:id="rId10"/>
  </externalReferences>
  <definedNames>
    <definedName name="_Hlk38542878" localSheetId="1">RZiS!#REF!</definedName>
    <definedName name="Pols">[1]Dane!$D$19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4" i="3" l="1"/>
  <c r="AA27" i="3"/>
  <c r="AA22" i="3"/>
  <c r="AA3" i="3"/>
  <c r="AA19" i="4"/>
  <c r="AA4" i="4"/>
  <c r="AA18" i="8"/>
  <c r="AA13" i="8"/>
  <c r="AA9" i="8"/>
  <c r="AA6" i="8"/>
  <c r="AA24" i="17"/>
  <c r="AA12" i="17"/>
  <c r="AA3" i="17"/>
  <c r="AA16" i="12"/>
  <c r="AA13" i="12"/>
  <c r="AA4" i="12"/>
  <c r="AA3" i="12" s="1"/>
  <c r="AA7" i="16"/>
  <c r="AA3" i="16"/>
  <c r="AO14" i="18"/>
  <c r="AO13" i="18"/>
  <c r="AO12" i="18"/>
  <c r="AO11" i="18"/>
  <c r="AN10" i="18"/>
  <c r="AM10" i="18"/>
  <c r="AO10" i="18" s="1"/>
  <c r="AO9" i="18"/>
  <c r="AO8" i="18"/>
  <c r="AO7" i="18"/>
  <c r="AO6" i="18"/>
  <c r="AN5" i="18"/>
  <c r="AM5" i="18"/>
  <c r="AA9" i="15"/>
  <c r="AA3" i="15"/>
  <c r="AA15" i="15" s="1"/>
  <c r="AB49" i="7"/>
  <c r="AA30" i="4" l="1"/>
  <c r="AA26" i="3"/>
  <c r="AA37" i="3"/>
  <c r="AA24" i="8"/>
  <c r="AA28" i="8" s="1"/>
  <c r="AA29" i="17"/>
  <c r="AA12" i="12"/>
  <c r="AA24" i="12" s="1"/>
  <c r="AA11" i="16"/>
  <c r="AN15" i="18"/>
  <c r="AM15" i="18"/>
  <c r="AO15" i="18"/>
  <c r="AO5" i="18"/>
  <c r="AB40" i="7" l="1"/>
  <c r="AB24" i="7"/>
  <c r="AB50" i="7" l="1"/>
  <c r="S29" i="8"/>
  <c r="V24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L11" i="18"/>
  <c r="X37" i="3" l="1"/>
  <c r="D6" i="18" l="1"/>
  <c r="D8" i="18"/>
  <c r="D7" i="18"/>
  <c r="AL14" i="18" l="1"/>
  <c r="AI14" i="18"/>
  <c r="AF14" i="18"/>
  <c r="AC14" i="18"/>
  <c r="Z14" i="18"/>
  <c r="W14" i="18"/>
  <c r="T14" i="18"/>
  <c r="Q14" i="18"/>
  <c r="N14" i="18"/>
  <c r="K14" i="18"/>
  <c r="H14" i="18"/>
  <c r="E14" i="18"/>
  <c r="AL13" i="18"/>
  <c r="AI13" i="18"/>
  <c r="AF13" i="18"/>
  <c r="AC13" i="18"/>
  <c r="Z13" i="18"/>
  <c r="W13" i="18"/>
  <c r="T13" i="18"/>
  <c r="Q13" i="18"/>
  <c r="N13" i="18"/>
  <c r="K13" i="18"/>
  <c r="H13" i="18"/>
  <c r="E13" i="18"/>
  <c r="AL12" i="18"/>
  <c r="AI12" i="18"/>
  <c r="AF12" i="18"/>
  <c r="AC12" i="18"/>
  <c r="Z12" i="18"/>
  <c r="W12" i="18"/>
  <c r="T12" i="18"/>
  <c r="Q12" i="18"/>
  <c r="N12" i="18"/>
  <c r="K12" i="18"/>
  <c r="H12" i="18"/>
  <c r="E12" i="18"/>
  <c r="AL11" i="18"/>
  <c r="AI11" i="18"/>
  <c r="AF11" i="18"/>
  <c r="AC11" i="18"/>
  <c r="Z11" i="18"/>
  <c r="W11" i="18"/>
  <c r="T11" i="18"/>
  <c r="Q11" i="18"/>
  <c r="N11" i="18"/>
  <c r="K11" i="18"/>
  <c r="H11" i="18"/>
  <c r="E11" i="18"/>
  <c r="AK10" i="18"/>
  <c r="AJ10" i="18"/>
  <c r="AL10" i="18" s="1"/>
  <c r="AH10" i="18"/>
  <c r="AI10" i="18" s="1"/>
  <c r="AG10" i="18"/>
  <c r="AE10" i="18"/>
  <c r="AD10" i="18"/>
  <c r="AF10" i="18" s="1"/>
  <c r="AB10" i="18"/>
  <c r="AA10" i="18"/>
  <c r="Y10" i="18"/>
  <c r="X10" i="18"/>
  <c r="Z10" i="18" s="1"/>
  <c r="V10" i="18"/>
  <c r="U10" i="18"/>
  <c r="S10" i="18"/>
  <c r="R10" i="18"/>
  <c r="T10" i="18" s="1"/>
  <c r="P10" i="18"/>
  <c r="O10" i="18"/>
  <c r="M10" i="18"/>
  <c r="L10" i="18"/>
  <c r="N10" i="18" s="1"/>
  <c r="J10" i="18"/>
  <c r="I10" i="18"/>
  <c r="G10" i="18"/>
  <c r="F10" i="18"/>
  <c r="D10" i="18"/>
  <c r="C10" i="18"/>
  <c r="AL9" i="18"/>
  <c r="AI9" i="18"/>
  <c r="AF9" i="18"/>
  <c r="AC9" i="18"/>
  <c r="Z9" i="18"/>
  <c r="W9" i="18"/>
  <c r="T9" i="18"/>
  <c r="Q9" i="18"/>
  <c r="N9" i="18"/>
  <c r="K9" i="18"/>
  <c r="H9" i="18"/>
  <c r="E9" i="18"/>
  <c r="AL8" i="18"/>
  <c r="AI8" i="18"/>
  <c r="AF8" i="18"/>
  <c r="AC8" i="18"/>
  <c r="Z8" i="18"/>
  <c r="W8" i="18"/>
  <c r="T8" i="18"/>
  <c r="Q8" i="18"/>
  <c r="N8" i="18"/>
  <c r="K8" i="18"/>
  <c r="H8" i="18"/>
  <c r="E8" i="18"/>
  <c r="AL7" i="18"/>
  <c r="AI7" i="18"/>
  <c r="AF7" i="18"/>
  <c r="AC7" i="18"/>
  <c r="Z7" i="18"/>
  <c r="W7" i="18"/>
  <c r="T7" i="18"/>
  <c r="Q7" i="18"/>
  <c r="N7" i="18"/>
  <c r="K7" i="18"/>
  <c r="H7" i="18"/>
  <c r="E7" i="18"/>
  <c r="AL6" i="18"/>
  <c r="AI6" i="18"/>
  <c r="AF6" i="18"/>
  <c r="AC6" i="18"/>
  <c r="Z6" i="18"/>
  <c r="W6" i="18"/>
  <c r="T6" i="18"/>
  <c r="Q6" i="18"/>
  <c r="N6" i="18"/>
  <c r="K6" i="18"/>
  <c r="H6" i="18"/>
  <c r="E6" i="18"/>
  <c r="AK5" i="18"/>
  <c r="AK15" i="18" s="1"/>
  <c r="AJ5" i="18"/>
  <c r="AJ15" i="18" s="1"/>
  <c r="AH5" i="18"/>
  <c r="AG5" i="18"/>
  <c r="AE5" i="18"/>
  <c r="AD5" i="18"/>
  <c r="AD15" i="18" s="1"/>
  <c r="AB5" i="18"/>
  <c r="AB15" i="18" s="1"/>
  <c r="AA5" i="18"/>
  <c r="AA15" i="18" s="1"/>
  <c r="Y5" i="18"/>
  <c r="Y15" i="18" s="1"/>
  <c r="X5" i="18"/>
  <c r="V5" i="18"/>
  <c r="V15" i="18" s="1"/>
  <c r="U5" i="18"/>
  <c r="S5" i="18"/>
  <c r="S15" i="18" s="1"/>
  <c r="R5" i="18"/>
  <c r="P5" i="18"/>
  <c r="P15" i="18" s="1"/>
  <c r="O5" i="18"/>
  <c r="O15" i="18" s="1"/>
  <c r="M5" i="18"/>
  <c r="M15" i="18" s="1"/>
  <c r="L5" i="18"/>
  <c r="J5" i="18"/>
  <c r="I5" i="18"/>
  <c r="G5" i="18"/>
  <c r="F5" i="18"/>
  <c r="D5" i="18"/>
  <c r="D15" i="18" s="1"/>
  <c r="C5" i="18"/>
  <c r="Q10" i="18" l="1"/>
  <c r="AC10" i="18"/>
  <c r="AI5" i="18"/>
  <c r="AL15" i="18"/>
  <c r="AF5" i="18"/>
  <c r="L15" i="18"/>
  <c r="N15" i="18" s="1"/>
  <c r="R15" i="18"/>
  <c r="T15" i="18" s="1"/>
  <c r="X15" i="18"/>
  <c r="Z15" i="18" s="1"/>
  <c r="AC5" i="18"/>
  <c r="AH15" i="18"/>
  <c r="W10" i="18"/>
  <c r="W5" i="18"/>
  <c r="Q5" i="18"/>
  <c r="Q15" i="18"/>
  <c r="G15" i="18"/>
  <c r="H10" i="18"/>
  <c r="K10" i="18"/>
  <c r="J15" i="18"/>
  <c r="K5" i="18"/>
  <c r="F15" i="18"/>
  <c r="C15" i="18"/>
  <c r="E15" i="18" s="1"/>
  <c r="E10" i="18"/>
  <c r="E5" i="18"/>
  <c r="AC15" i="18"/>
  <c r="AE15" i="18"/>
  <c r="AF15" i="18" s="1"/>
  <c r="N5" i="18"/>
  <c r="Z5" i="18"/>
  <c r="AL5" i="18"/>
  <c r="I15" i="18"/>
  <c r="U15" i="18"/>
  <c r="W15" i="18" s="1"/>
  <c r="AG15" i="18"/>
  <c r="H5" i="18"/>
  <c r="T5" i="18"/>
  <c r="AI15" i="18" l="1"/>
  <c r="H15" i="18"/>
  <c r="K15" i="18"/>
  <c r="Z9" i="15"/>
  <c r="Z3" i="15"/>
  <c r="Z15" i="15" s="1"/>
  <c r="Z7" i="16"/>
  <c r="Z3" i="16"/>
  <c r="Z11" i="16" s="1"/>
  <c r="Z24" i="17"/>
  <c r="Z12" i="17"/>
  <c r="Z3" i="17"/>
  <c r="Z13" i="12"/>
  <c r="Z12" i="12" s="1"/>
  <c r="Z19" i="4"/>
  <c r="Z4" i="4"/>
  <c r="Z30" i="4" s="1"/>
  <c r="Z28" i="8"/>
  <c r="Z18" i="8"/>
  <c r="Z13" i="8"/>
  <c r="Z9" i="8"/>
  <c r="AA49" i="7"/>
  <c r="AA40" i="7"/>
  <c r="AA24" i="7"/>
  <c r="Z24" i="8" l="1"/>
  <c r="AA50" i="7"/>
  <c r="Z3" i="12"/>
  <c r="Z24" i="12" s="1"/>
  <c r="Z29" i="8"/>
  <c r="Z29" i="17"/>
  <c r="V4" i="4"/>
  <c r="V30" i="4" s="1"/>
  <c r="V26" i="8" l="1"/>
  <c r="V28" i="8" l="1"/>
  <c r="V29" i="8" s="1"/>
  <c r="W20" i="7" l="1"/>
  <c r="W9" i="8"/>
  <c r="X9" i="8"/>
  <c r="Y9" i="8"/>
  <c r="Y24" i="8" s="1"/>
  <c r="Y26" i="8" s="1"/>
  <c r="S9" i="8"/>
  <c r="T9" i="8"/>
  <c r="U9" i="8"/>
  <c r="S24" i="8" l="1"/>
  <c r="S26" i="8" s="1"/>
  <c r="R5" i="16"/>
  <c r="S46" i="7" l="1"/>
  <c r="S20" i="7"/>
  <c r="Y7" i="16" l="1"/>
  <c r="Y3" i="16"/>
  <c r="Y11" i="16" s="1"/>
  <c r="Y9" i="15"/>
  <c r="Y3" i="15"/>
  <c r="Y15" i="15" s="1"/>
  <c r="Y12" i="17"/>
  <c r="Y3" i="12"/>
  <c r="Y24" i="12" s="1"/>
  <c r="Y29" i="17" l="1"/>
  <c r="Y29" i="8" l="1"/>
  <c r="X9" i="15" l="1"/>
  <c r="X3" i="15"/>
  <c r="X7" i="16"/>
  <c r="X3" i="16"/>
  <c r="X15" i="15" l="1"/>
  <c r="X11" i="16"/>
  <c r="X12" i="17" l="1"/>
  <c r="X3" i="17"/>
  <c r="X29" i="17" l="1"/>
  <c r="X16" i="12"/>
  <c r="X13" i="12"/>
  <c r="X4" i="12"/>
  <c r="X3" i="12" s="1"/>
  <c r="X12" i="12" l="1"/>
  <c r="X24" i="12" s="1"/>
  <c r="X19" i="4"/>
  <c r="X4" i="4"/>
  <c r="X1" i="4" s="1"/>
  <c r="X30" i="4" l="1"/>
  <c r="X18" i="8" l="1"/>
  <c r="X24" i="8" s="1"/>
  <c r="X13" i="8"/>
  <c r="X26" i="8" l="1"/>
  <c r="Y49" i="7"/>
  <c r="Y40" i="7"/>
  <c r="Y50" i="7" l="1"/>
  <c r="Y24" i="7"/>
  <c r="X28" i="8" l="1"/>
  <c r="X29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4" i="17"/>
  <c r="W12" i="17"/>
  <c r="W3" i="17"/>
  <c r="W29" i="17" l="1"/>
  <c r="W15" i="15"/>
  <c r="W16" i="12"/>
  <c r="W13" i="12"/>
  <c r="W4" i="12"/>
  <c r="W3" i="12" s="1"/>
  <c r="W19" i="4"/>
  <c r="W4" i="4"/>
  <c r="W1" i="4" s="1"/>
  <c r="W18" i="8"/>
  <c r="W13" i="8"/>
  <c r="W6" i="8"/>
  <c r="W24" i="8" s="1"/>
  <c r="X49" i="7"/>
  <c r="X36" i="7"/>
  <c r="X40" i="7" s="1"/>
  <c r="X26" i="7"/>
  <c r="X20" i="7"/>
  <c r="X5" i="7"/>
  <c r="X24" i="7" s="1"/>
  <c r="X50" i="7" l="1"/>
  <c r="W30" i="4"/>
  <c r="W12" i="12"/>
  <c r="W24" i="12" s="1"/>
  <c r="W26" i="8" l="1"/>
  <c r="W28" i="8" s="1"/>
  <c r="W29" i="8" s="1"/>
  <c r="V7" i="16" l="1"/>
  <c r="V3" i="16"/>
  <c r="V3" i="15"/>
  <c r="V9" i="15"/>
  <c r="V1" i="4"/>
  <c r="V11" i="16" l="1"/>
  <c r="V15" i="15"/>
  <c r="W26" i="7"/>
  <c r="U26" i="7" l="1"/>
  <c r="U16" i="12" l="1"/>
  <c r="U13" i="12"/>
  <c r="U4" i="12"/>
  <c r="U3" i="12" l="1"/>
  <c r="U12" i="12"/>
  <c r="U18" i="8"/>
  <c r="V36" i="7"/>
  <c r="V20" i="7"/>
  <c r="U24" i="12" l="1"/>
  <c r="V40" i="7"/>
  <c r="V49" i="7"/>
  <c r="V24" i="7"/>
  <c r="U7" i="16"/>
  <c r="U3" i="16"/>
  <c r="U6" i="8"/>
  <c r="U24" i="8" s="1"/>
  <c r="U26" i="8" l="1"/>
  <c r="U11" i="16"/>
  <c r="V50" i="7"/>
  <c r="U3" i="17"/>
  <c r="U12" i="17"/>
  <c r="U24" i="17"/>
  <c r="U28" i="8" l="1"/>
  <c r="U29" i="8" l="1"/>
  <c r="U3" i="15"/>
  <c r="U9" i="15"/>
  <c r="U19" i="4"/>
  <c r="U4" i="4"/>
  <c r="V26" i="7"/>
  <c r="U1" i="4" l="1"/>
  <c r="U15" i="15"/>
  <c r="U30" i="4"/>
  <c r="K6" i="15"/>
  <c r="K12" i="15"/>
  <c r="C24" i="17" l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29" i="17" l="1"/>
  <c r="R29" i="17"/>
  <c r="T29" i="17"/>
  <c r="S29" i="17"/>
  <c r="N29" i="17"/>
  <c r="F29" i="17"/>
  <c r="Q29" i="17"/>
  <c r="I29" i="17"/>
  <c r="E29" i="17"/>
  <c r="M29" i="17"/>
  <c r="L29" i="17"/>
  <c r="P29" i="17"/>
  <c r="H29" i="17"/>
  <c r="D29" i="17"/>
  <c r="O29" i="17"/>
  <c r="K29" i="17"/>
  <c r="G29" i="17"/>
  <c r="C29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O3" i="3"/>
  <c r="P3" i="3"/>
  <c r="P37" i="3" s="1"/>
  <c r="Q3" i="3"/>
  <c r="Q37" i="3" s="1"/>
  <c r="R3" i="3"/>
  <c r="S3" i="3"/>
  <c r="S37" i="3" l="1"/>
  <c r="O37" i="3"/>
  <c r="R37" i="3"/>
  <c r="T37" i="3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4" i="8" s="1"/>
  <c r="R6" i="8"/>
  <c r="R24" i="8" s="1"/>
  <c r="Q6" i="8"/>
  <c r="P6" i="8"/>
  <c r="O6" i="8"/>
  <c r="N6" i="8"/>
  <c r="N24" i="8" s="1"/>
  <c r="M6" i="8"/>
  <c r="M24" i="8" s="1"/>
  <c r="L6" i="8"/>
  <c r="L24" i="8" s="1"/>
  <c r="K6" i="8"/>
  <c r="K24" i="8" s="1"/>
  <c r="J6" i="8"/>
  <c r="J24" i="8" s="1"/>
  <c r="I6" i="8"/>
  <c r="H6" i="8"/>
  <c r="H24" i="8" s="1"/>
  <c r="G6" i="8"/>
  <c r="G24" i="8" s="1"/>
  <c r="F6" i="8"/>
  <c r="F24" i="8" s="1"/>
  <c r="E6" i="8"/>
  <c r="E24" i="8" s="1"/>
  <c r="D6" i="8"/>
  <c r="D24" i="8" s="1"/>
  <c r="C6" i="8"/>
  <c r="C24" i="8" s="1"/>
  <c r="U49" i="7"/>
  <c r="T49" i="7"/>
  <c r="S49" i="7"/>
  <c r="R49" i="7"/>
  <c r="Q49" i="7"/>
  <c r="P49" i="7"/>
  <c r="O49" i="7"/>
  <c r="N49" i="7"/>
  <c r="M49" i="7"/>
  <c r="J49" i="7"/>
  <c r="I49" i="7"/>
  <c r="H49" i="7"/>
  <c r="G49" i="7"/>
  <c r="F49" i="7"/>
  <c r="E49" i="7"/>
  <c r="D49" i="7"/>
  <c r="C49" i="7"/>
  <c r="L47" i="7"/>
  <c r="K47" i="7"/>
  <c r="L46" i="7"/>
  <c r="K46" i="7"/>
  <c r="Q40" i="7"/>
  <c r="P40" i="7"/>
  <c r="O40" i="7"/>
  <c r="N40" i="7"/>
  <c r="M40" i="7"/>
  <c r="J40" i="7"/>
  <c r="I40" i="7"/>
  <c r="H40" i="7"/>
  <c r="G40" i="7"/>
  <c r="F40" i="7"/>
  <c r="E40" i="7"/>
  <c r="D40" i="7"/>
  <c r="C40" i="7"/>
  <c r="T37" i="7"/>
  <c r="T36" i="7" s="1"/>
  <c r="T40" i="7" s="1"/>
  <c r="L37" i="7"/>
  <c r="L36" i="7" s="1"/>
  <c r="K37" i="7"/>
  <c r="K36" i="7" s="1"/>
  <c r="U36" i="7"/>
  <c r="U40" i="7" s="1"/>
  <c r="S36" i="7"/>
  <c r="R36" i="7"/>
  <c r="R40" i="7" s="1"/>
  <c r="L34" i="7"/>
  <c r="K34" i="7"/>
  <c r="U31" i="7"/>
  <c r="T31" i="7"/>
  <c r="L28" i="7"/>
  <c r="K28" i="7"/>
  <c r="U24" i="7"/>
  <c r="T24" i="7"/>
  <c r="S24" i="7"/>
  <c r="R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O24" i="8" l="1"/>
  <c r="P24" i="8"/>
  <c r="P28" i="8" s="1"/>
  <c r="I24" i="8"/>
  <c r="Q24" i="8"/>
  <c r="S40" i="7"/>
  <c r="L49" i="7"/>
  <c r="J50" i="7"/>
  <c r="T26" i="8"/>
  <c r="R50" i="7"/>
  <c r="K49" i="7"/>
  <c r="N50" i="7"/>
  <c r="E50" i="7"/>
  <c r="I50" i="7"/>
  <c r="F50" i="7"/>
  <c r="K40" i="7"/>
  <c r="C50" i="7"/>
  <c r="G50" i="7"/>
  <c r="M50" i="7"/>
  <c r="Q50" i="7"/>
  <c r="L40" i="7"/>
  <c r="L50" i="7" s="1"/>
  <c r="U50" i="7"/>
  <c r="D50" i="7"/>
  <c r="H50" i="7"/>
  <c r="O50" i="7"/>
  <c r="S50" i="7"/>
  <c r="P50" i="7"/>
  <c r="T50" i="7"/>
  <c r="I28" i="8" l="1"/>
  <c r="I26" i="8"/>
  <c r="P26" i="8"/>
  <c r="D28" i="8"/>
  <c r="D26" i="8"/>
  <c r="K28" i="8"/>
  <c r="K26" i="8"/>
  <c r="J28" i="8"/>
  <c r="J26" i="8"/>
  <c r="G28" i="8"/>
  <c r="G26" i="8"/>
  <c r="E28" i="8"/>
  <c r="E26" i="8"/>
  <c r="R28" i="8"/>
  <c r="R29" i="8" s="1"/>
  <c r="R26" i="8"/>
  <c r="Q28" i="8"/>
  <c r="Q29" i="8" s="1"/>
  <c r="Q26" i="8"/>
  <c r="C28" i="8"/>
  <c r="C26" i="8"/>
  <c r="F28" i="8"/>
  <c r="F26" i="8"/>
  <c r="N28" i="8"/>
  <c r="N26" i="8"/>
  <c r="M28" i="8"/>
  <c r="M26" i="8"/>
  <c r="H28" i="8"/>
  <c r="H26" i="8"/>
  <c r="L28" i="8"/>
  <c r="L26" i="8"/>
  <c r="O28" i="8"/>
  <c r="O26" i="8"/>
  <c r="K50" i="7"/>
  <c r="T28" i="8"/>
  <c r="T29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<sst xmlns="http://schemas.openxmlformats.org/spreadsheetml/2006/main" count="1408" uniqueCount="393">
  <si>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</si>
  <si>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</si>
  <si>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</si>
  <si>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</si>
  <si>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</si>
  <si>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</si>
  <si>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</si>
  <si>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</si>
  <si>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</si>
  <si>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</si>
  <si>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</si>
  <si>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4 kw. 2015</t>
  </si>
  <si>
    <t>3 kw. 2015</t>
  </si>
  <si>
    <t>Podatek bankowy</t>
  </si>
  <si>
    <t>1 kw. 2015</t>
  </si>
  <si>
    <t>1 kw. 2016</t>
  </si>
  <si>
    <t>2 kw. 2016</t>
  </si>
  <si>
    <t>2 kw. 2015</t>
  </si>
  <si>
    <t>3 kw. 2016</t>
  </si>
  <si>
    <t>Zysk okazji nabycia wydzielonej części BPH</t>
  </si>
  <si>
    <t>4 kw. 2016</t>
  </si>
  <si>
    <t>1 kw. 2017</t>
  </si>
  <si>
    <t>2 kw. 2017</t>
  </si>
  <si>
    <t>Wynik z tytułu opłat i prowizji</t>
  </si>
  <si>
    <t>3 kw. 2017</t>
  </si>
  <si>
    <t>4 kw. 2017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</si>
  <si>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</si>
  <si>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</si>
  <si>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</si>
  <si>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</si>
  <si>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1 kw. 2018</t>
  </si>
  <si>
    <t>2 kw. 2018</t>
  </si>
  <si>
    <t>3 kw. 2018</t>
  </si>
  <si>
    <t>wycenianych do wartości godziwej przez inne całkowite dochody</t>
  </si>
  <si>
    <t>4 kw. 2018</t>
  </si>
  <si>
    <t>Wynik na instrumentach wycenianych do wartości godziwej przez rachunek zysków i strat i wynik z pozycji wymiany</t>
  </si>
  <si>
    <t>1 kw. 2019</t>
  </si>
  <si>
    <t>2 kw. 2019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</si>
  <si>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</si>
  <si>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</si>
  <si>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</si>
  <si>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</si>
  <si>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</si>
  <si>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</si>
  <si>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</si>
  <si>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</si>
  <si>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</si>
  <si>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</si>
  <si>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</si>
  <si>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</si>
  <si>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</si>
  <si>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</si>
  <si>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</si>
  <si>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</si>
  <si>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</si>
  <si>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</si>
  <si>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</si>
  <si>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</si>
  <si>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</si>
  <si>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</si>
  <si>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</si>
  <si>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</si>
  <si>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</si>
  <si>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</si>
  <si>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</si>
  <si>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</si>
  <si>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</si>
  <si>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</si>
  <si>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</si>
  <si>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</si>
  <si>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</si>
  <si>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</si>
  <si>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</si>
  <si>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</si>
  <si>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</si>
  <si>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</si>
  <si>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</si>
  <si>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</si>
  <si>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</si>
  <si>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</si>
  <si>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</si>
  <si>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</si>
  <si>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</si>
  <si>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</si>
  <si>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</si>
  <si>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</si>
  <si>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</si>
  <si>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</si>
  <si>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</si>
  <si>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</si>
  <si>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</si>
  <si>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</si>
  <si>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</si>
  <si>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</si>
  <si>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</si>
  <si>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</si>
  <si>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</si>
  <si>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</si>
  <si>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</si>
  <si>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</si>
  <si>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</si>
  <si>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</si>
  <si>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</si>
  <si>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</si>
  <si>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</si>
  <si>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</si>
  <si>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</si>
  <si>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</si>
  <si>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</si>
  <si>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</si>
  <si>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</si>
  <si>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</si>
  <si>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</si>
  <si>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</si>
  <si>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</si>
  <si>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</si>
  <si>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</si>
  <si>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</si>
  <si>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</si>
  <si>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</si>
  <si>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</si>
  <si>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</si>
  <si>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</si>
  <si>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</si>
  <si>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</si>
  <si>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</si>
  <si>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</si>
  <si>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</si>
  <si>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</si>
  <si>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</si>
  <si>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</si>
  <si>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</si>
  <si>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</si>
  <si>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</si>
  <si>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</si>
  <si>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</si>
  <si>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</si>
  <si>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</si>
  <si>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</si>
  <si>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</si>
  <si>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</si>
  <si>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</si>
  <si>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</si>
  <si>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</si>
  <si>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</si>
  <si>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</si>
  <si>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</si>
  <si>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</si>
  <si>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</si>
  <si>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</si>
  <si>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</si>
  <si>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</si>
  <si>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</si>
  <si>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</si>
  <si>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</si>
  <si>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</si>
  <si>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</si>
  <si>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</si>
  <si>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</si>
  <si>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</si>
  <si>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</si>
  <si>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</si>
  <si>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</si>
  <si>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</si>
  <si>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</si>
  <si>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</si>
  <si>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</si>
  <si>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</si>
  <si>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</si>
  <si>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</si>
  <si>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</si>
  <si>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</si>
  <si>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</si>
  <si>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</si>
  <si>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</si>
  <si>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</si>
  <si>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</si>
  <si>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</si>
  <si>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</si>
  <si>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</si>
  <si>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3 kw. 2019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</si>
  <si>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</si>
  <si>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</si>
  <si>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</si>
  <si>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</si>
  <si>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</si>
  <si>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</si>
  <si>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</si>
  <si>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</si>
  <si>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</si>
  <si>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</si>
  <si>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</si>
  <si>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</si>
  <si>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</si>
  <si>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</si>
  <si>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</si>
  <si>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</si>
  <si>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</si>
  <si>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</si>
  <si>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</si>
  <si>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</si>
  <si>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</si>
  <si>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</si>
  <si>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</si>
  <si>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</si>
  <si>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</si>
  <si>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</si>
  <si>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</si>
  <si>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</si>
  <si>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</si>
  <si>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</si>
  <si>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</si>
  <si>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</si>
  <si>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</si>
  <si>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</si>
  <si>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</si>
  <si>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</si>
  <si>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</si>
  <si>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</si>
  <si>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</si>
  <si>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</si>
  <si>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</si>
  <si>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</si>
  <si>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</si>
  <si>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</si>
  <si>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</si>
  <si>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</si>
  <si>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</si>
  <si>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</si>
  <si>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</si>
  <si>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</si>
  <si>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</si>
  <si>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</si>
  <si>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</si>
  <si>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</si>
  <si>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</si>
  <si>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</si>
  <si>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</si>
  <si>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</si>
  <si>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</si>
  <si>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</si>
  <si>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</si>
  <si>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</si>
  <si>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</si>
  <si>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</si>
  <si>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</si>
  <si>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</si>
  <si>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</si>
  <si>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</si>
  <si>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</si>
  <si>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</si>
  <si>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</si>
  <si>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</si>
  <si>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</si>
  <si>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</si>
  <si>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</si>
  <si>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</si>
  <si>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</si>
  <si>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</si>
  <si>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</si>
  <si>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</si>
  <si>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</si>
  <si>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</si>
  <si>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</si>
  <si>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</si>
  <si>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</si>
  <si>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</si>
  <si>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</si>
  <si>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</si>
  <si>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</si>
  <si>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</si>
  <si>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</si>
  <si>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</si>
  <si>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</si>
  <si>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</si>
  <si>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</si>
  <si>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</si>
  <si>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</si>
  <si>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</si>
  <si>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</si>
  <si>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</si>
  <si>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</si>
  <si>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</si>
  <si>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</si>
  <si>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</si>
  <si>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</si>
  <si>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</si>
  <si>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</si>
  <si>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</si>
  <si>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</si>
  <si>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</si>
  <si>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</si>
  <si>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</si>
  <si>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</si>
  <si>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</si>
  <si>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</si>
  <si>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</si>
  <si>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</si>
  <si>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</si>
  <si>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</si>
  <si>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</si>
  <si>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</si>
  <si>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</si>
  <si>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</si>
  <si>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</si>
  <si>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</si>
  <si>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</si>
  <si>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</si>
  <si>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</si>
  <si>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</si>
  <si>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</si>
  <si>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</si>
  <si>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</si>
  <si>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</si>
  <si>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</si>
  <si>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</si>
  <si>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</si>
  <si>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</si>
  <si>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</si>
  <si>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</si>
  <si>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</si>
  <si>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</si>
  <si>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</si>
  <si>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</si>
  <si>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</si>
  <si>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</si>
  <si>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</si>
  <si>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</si>
  <si>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</si>
  <si>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</si>
  <si>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</si>
  <si>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</si>
  <si>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</si>
  <si>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</si>
  <si>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</si>
  <si>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</si>
  <si>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</si>
  <si>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</si>
  <si>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</si>
  <si>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</si>
  <si>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</si>
  <si>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</si>
  <si>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</si>
  <si>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</si>
  <si>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</si>
  <si>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</si>
  <si>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</si>
  <si>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</si>
  <si>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</si>
  <si>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</si>
  <si>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</si>
  <si>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</si>
  <si>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 xml:space="preserve">2 kw. 2019 </t>
  </si>
  <si>
    <t>4 kw. 2019</t>
  </si>
  <si>
    <t>Cash and balances with the Central Bank/Cash and cash equivalents</t>
  </si>
  <si>
    <t xml:space="preserve">*zmiana prezentacji od 31.12.2019 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</si>
  <si>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</si>
  <si>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</si>
  <si>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1 kw. 2020</t>
  </si>
  <si>
    <t>212 885*</t>
  </si>
  <si>
    <t>Koszty działania Grupy</t>
  </si>
  <si>
    <t xml:space="preserve">1 kw. 2019 </t>
  </si>
  <si>
    <t xml:space="preserve">kredyty, w tym </t>
  </si>
  <si>
    <t xml:space="preserve">3 kw. 2019 </t>
  </si>
  <si>
    <t>2 kw. 2020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</si>
  <si>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</si>
  <si>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</si>
  <si>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</si>
  <si>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</si>
  <si>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</si>
  <si>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3 kw. 2020</t>
  </si>
  <si>
    <t>z tytułu  modyfikacji nieistotnych</t>
  </si>
  <si>
    <t xml:space="preserve">modification of a financial asset deemed not significant </t>
  </si>
  <si>
    <t xml:space="preserve">4 kw. 2019 </t>
  </si>
  <si>
    <t>4 kw. 2020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</si>
  <si>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</si>
  <si>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</si>
  <si>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</si>
  <si>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</si>
  <si>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</si>
  <si>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</si>
  <si>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</si>
  <si>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</si>
  <si>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</si>
  <si>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</si>
  <si>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</si>
  <si>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</si>
  <si>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</si>
  <si>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</si>
  <si>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</si>
  <si>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Impairment allowances and write-downs of non-financial assets</t>
  </si>
  <si>
    <t>Wynik z tytułu odpisów na straty oczekiwane</t>
  </si>
  <si>
    <t>1 kw.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</si>
</sst>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18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charset val="238"/>
    </font>
    <font>
      <sz val="7"/>
      <color theme="1"/>
      <name val="Lato"/>
      <charset val="238"/>
    </font>
    <font>
      <sz val="8"/>
      <color theme="1"/>
      <name val="Lato"/>
      <charset val="238"/>
    </font>
    <font>
      <sz val="7"/>
      <name val="Lato"/>
      <charset val="238"/>
    </font>
    <font>
      <b/>
      <sz val="7"/>
      <name val="Lato"/>
      <charset val="238"/>
    </font>
    <font>
      <b/>
      <sz val="8"/>
      <color theme="1"/>
      <name val="Lato"/>
      <charset val="238"/>
    </font>
    <font>
      <b/>
      <sz val="7"/>
      <color theme="1"/>
      <name val="Lato"/>
      <charset val="238"/>
    </font>
    <font>
      <sz val="7"/>
      <color rgb="FFFF0000"/>
      <name val="Lato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charset val="238"/>
    </font>
    <font>
      <b/>
      <sz val="8"/>
      <color theme="1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1906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11" borderId="0" applyNumberFormat="0" applyBorder="0" applyAlignment="0" applyProtection="0"/>
    <xf numFmtId="0" fontId="25" fillId="14" borderId="7" applyNumberFormat="0" applyAlignment="0" applyProtection="0"/>
    <xf numFmtId="0" fontId="26" fillId="15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13" borderId="7" applyNumberFormat="0" applyAlignment="0" applyProtection="0"/>
    <xf numFmtId="0" fontId="30" fillId="13" borderId="7" applyNumberFormat="0" applyAlignment="0" applyProtection="0"/>
    <xf numFmtId="0" fontId="31" fillId="14" borderId="8" applyNumberFormat="0" applyAlignment="0" applyProtection="0"/>
    <xf numFmtId="0" fontId="31" fillId="14" borderId="8" applyNumberFormat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0" fillId="13" borderId="7" applyNumberFormat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26" fillId="15" borderId="10" applyNumberFormat="0" applyAlignment="0" applyProtection="0"/>
    <xf numFmtId="0" fontId="26" fillId="15" borderId="10" applyNumberFormat="0" applyAlignment="0" applyProtection="0"/>
    <xf numFmtId="0" fontId="39" fillId="0" borderId="9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20" fillId="0" borderId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9" fillId="0" borderId="0"/>
    <xf numFmtId="0" fontId="41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3" fillId="0" borderId="0"/>
    <xf numFmtId="0" fontId="43" fillId="0" borderId="0"/>
    <xf numFmtId="0" fontId="4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top"/>
    </xf>
    <xf numFmtId="0" fontId="46" fillId="0" borderId="0">
      <alignment vertical="top"/>
    </xf>
    <xf numFmtId="0" fontId="43" fillId="0" borderId="0"/>
    <xf numFmtId="0" fontId="46" fillId="0" borderId="0">
      <alignment vertical="top"/>
    </xf>
    <xf numFmtId="0" fontId="47" fillId="0" borderId="0" applyNumberFormat="0" applyBorder="0" applyProtection="0"/>
    <xf numFmtId="0" fontId="43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46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Border="0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5" fillId="14" borderId="7" applyNumberFormat="0" applyAlignment="0" applyProtection="0"/>
    <xf numFmtId="0" fontId="25" fillId="14" borderId="7" applyNumberFormat="0" applyAlignment="0" applyProtection="0"/>
    <xf numFmtId="0" fontId="31" fillId="14" borderId="8" applyNumberFormat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12" applyNumberFormat="0" applyFill="0" applyAlignment="0" applyProtection="0"/>
    <xf numFmtId="0" fontId="49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1" fillId="0" borderId="0">
      <alignment horizontal="center"/>
    </xf>
    <xf numFmtId="0" fontId="5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171" fontId="52" fillId="0" borderId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0">
      <alignment vertical="top"/>
      <protection locked="0"/>
    </xf>
    <xf numFmtId="9" fontId="2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8" fontId="53" fillId="0" borderId="0" applyFont="0" applyFill="0" applyBorder="0" applyAlignment="0" applyProtection="0"/>
    <xf numFmtId="173" fontId="28" fillId="0" borderId="0" applyFont="0" applyFill="0" applyBorder="0" applyAlignment="0" applyProtection="0"/>
    <xf numFmtId="174" fontId="54" fillId="0" borderId="0" applyFont="0" applyFill="0" applyAlignment="0" applyProtection="0"/>
    <xf numFmtId="175" fontId="28" fillId="0" borderId="0" applyFont="0" applyFill="0" applyBorder="0" applyAlignment="0" applyProtection="0"/>
    <xf numFmtId="175" fontId="54" fillId="0" borderId="0" applyFont="0" applyFill="0" applyAlignment="0" applyProtection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2" borderId="0">
      <alignment vertical="center" wrapText="1"/>
    </xf>
    <xf numFmtId="0" fontId="55" fillId="42" borderId="0">
      <alignment vertical="center" wrapText="1"/>
    </xf>
    <xf numFmtId="0" fontId="55" fillId="42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7" fillId="42" borderId="0">
      <alignment vertical="center" wrapText="1"/>
    </xf>
    <xf numFmtId="0" fontId="57" fillId="42" borderId="0">
      <alignment vertical="center" wrapText="1"/>
    </xf>
    <xf numFmtId="0" fontId="57" fillId="42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2" borderId="0">
      <alignment vertical="center" wrapText="1"/>
    </xf>
    <xf numFmtId="0" fontId="59" fillId="42" borderId="0">
      <alignment vertical="center" wrapText="1"/>
    </xf>
    <xf numFmtId="0" fontId="59" fillId="42" borderId="0">
      <alignment vertical="center" wrapText="1"/>
    </xf>
    <xf numFmtId="0" fontId="58" fillId="41" borderId="0"/>
    <xf numFmtId="0" fontId="58" fillId="41" borderId="0"/>
    <xf numFmtId="0" fontId="60" fillId="41" borderId="0"/>
    <xf numFmtId="0" fontId="60" fillId="41" borderId="0"/>
    <xf numFmtId="0" fontId="60" fillId="41" borderId="0"/>
    <xf numFmtId="0" fontId="61" fillId="42" borderId="0">
      <alignment vertical="center" wrapText="1"/>
    </xf>
    <xf numFmtId="0" fontId="61" fillId="42" borderId="0">
      <alignment vertical="center" wrapText="1"/>
    </xf>
    <xf numFmtId="0" fontId="61" fillId="42" borderId="0">
      <alignment vertical="center" wrapText="1"/>
    </xf>
    <xf numFmtId="0" fontId="60" fillId="41" borderId="0"/>
    <xf numFmtId="0" fontId="60" fillId="41" borderId="0"/>
    <xf numFmtId="0" fontId="62" fillId="41" borderId="0"/>
    <xf numFmtId="0" fontId="62" fillId="41" borderId="0"/>
    <xf numFmtId="0" fontId="62" fillId="41" borderId="0"/>
    <xf numFmtId="0" fontId="63" fillId="42" borderId="0">
      <alignment vertical="center" wrapText="1"/>
    </xf>
    <xf numFmtId="0" fontId="63" fillId="42" borderId="0">
      <alignment vertical="center" wrapText="1"/>
    </xf>
    <xf numFmtId="0" fontId="63" fillId="42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2" borderId="0">
      <alignment vertical="center" wrapText="1"/>
    </xf>
    <xf numFmtId="0" fontId="65" fillId="42" borderId="0">
      <alignment vertical="center" wrapText="1"/>
    </xf>
    <xf numFmtId="0" fontId="65" fillId="42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2" borderId="0">
      <alignment vertical="center" wrapText="1"/>
    </xf>
    <xf numFmtId="0" fontId="67" fillId="42" borderId="0">
      <alignment vertical="center" wrapText="1"/>
    </xf>
    <xf numFmtId="0" fontId="67" fillId="42" borderId="0">
      <alignment vertical="center" wrapText="1"/>
    </xf>
    <xf numFmtId="0" fontId="66" fillId="41" borderId="0"/>
    <xf numFmtId="0" fontId="66" fillId="41" borderId="0"/>
    <xf numFmtId="177" fontId="28" fillId="0" borderId="0" applyFont="0" applyFill="0" applyBorder="0" applyAlignment="0" applyProtection="0"/>
    <xf numFmtId="177" fontId="54" fillId="0" borderId="0" applyFont="0" applyFill="0" applyAlignment="0" applyProtection="0"/>
    <xf numFmtId="178" fontId="28" fillId="0" borderId="0" applyFont="0" applyFill="0" applyBorder="0" applyAlignment="0" applyProtection="0"/>
    <xf numFmtId="179" fontId="54" fillId="0" borderId="0" applyFont="0" applyFill="0" applyAlignment="0" applyProtection="0"/>
    <xf numFmtId="180" fontId="28" fillId="0" borderId="0" applyFont="0" applyFill="0" applyBorder="0" applyAlignment="0" applyProtection="0"/>
    <xf numFmtId="180" fontId="54" fillId="0" borderId="0" applyFont="0" applyFill="0" applyAlignment="0" applyProtection="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2" fontId="6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3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4" fontId="28" fillId="43" borderId="20"/>
    <xf numFmtId="185" fontId="55" fillId="0" borderId="20">
      <alignment vertical="center" wrapText="1"/>
    </xf>
    <xf numFmtId="185" fontId="55" fillId="0" borderId="20">
      <alignment vertical="center" wrapText="1"/>
    </xf>
    <xf numFmtId="185" fontId="55" fillId="0" borderId="20">
      <alignment vertical="center" wrapText="1"/>
    </xf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3" fontId="2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1" fontId="28" fillId="43" borderId="20"/>
    <xf numFmtId="181" fontId="28" fillId="43" borderId="20"/>
    <xf numFmtId="183" fontId="28" fillId="43" borderId="20"/>
    <xf numFmtId="176" fontId="28" fillId="0" borderId="0">
      <alignment horizontal="left" wrapText="1"/>
    </xf>
    <xf numFmtId="0" fontId="43" fillId="0" borderId="0"/>
    <xf numFmtId="0" fontId="43" fillId="0" borderId="0"/>
    <xf numFmtId="186" fontId="28" fillId="0" borderId="0" applyFont="0" applyFill="0" applyBorder="0" applyAlignment="0" applyProtection="0"/>
    <xf numFmtId="187" fontId="54" fillId="0" borderId="0" applyFon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58" fillId="43" borderId="0"/>
    <xf numFmtId="0" fontId="58" fillId="43" borderId="0"/>
    <xf numFmtId="0" fontId="58" fillId="43" borderId="0"/>
    <xf numFmtId="0" fontId="69" fillId="0" borderId="0">
      <alignment vertical="center" wrapText="1"/>
    </xf>
    <xf numFmtId="0" fontId="69" fillId="0" borderId="0">
      <alignment vertical="center" wrapText="1"/>
    </xf>
    <xf numFmtId="0" fontId="69" fillId="0" borderId="0">
      <alignment vertical="center" wrapText="1"/>
    </xf>
    <xf numFmtId="0" fontId="58" fillId="43" borderId="0"/>
    <xf numFmtId="0" fontId="58" fillId="43" borderId="0"/>
    <xf numFmtId="0" fontId="70" fillId="0" borderId="0" applyNumberFormat="0" applyFill="0" applyBorder="0" applyAlignment="0" applyProtection="0"/>
    <xf numFmtId="188" fontId="70" fillId="0" borderId="0" applyFill="0" applyAlignment="0" applyProtection="0"/>
    <xf numFmtId="0" fontId="28" fillId="44" borderId="0" applyNumberFormat="0" applyFont="0" applyAlignment="0" applyProtection="0"/>
    <xf numFmtId="188" fontId="54" fillId="45" borderId="0" applyFont="0" applyAlignment="0" applyProtection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89" fontId="28" fillId="0" borderId="0" applyFont="0" applyFill="0" applyBorder="0" applyAlignment="0" applyProtection="0"/>
    <xf numFmtId="190" fontId="54" fillId="0" borderId="0" applyFont="0" applyFill="0" applyAlignment="0" applyProtection="0"/>
    <xf numFmtId="191" fontId="28" fillId="0" borderId="0" applyFont="0" applyFill="0" applyBorder="0" applyProtection="0">
      <alignment horizontal="right"/>
    </xf>
    <xf numFmtId="191" fontId="54" fillId="0" borderId="0" applyFont="0" applyFill="0" applyProtection="0">
      <alignment horizontal="right"/>
    </xf>
    <xf numFmtId="0" fontId="43" fillId="0" borderId="0"/>
    <xf numFmtId="0" fontId="71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6" borderId="0">
      <alignment vertical="center" wrapText="1"/>
    </xf>
    <xf numFmtId="0" fontId="59" fillId="46" borderId="0">
      <alignment vertical="center" wrapText="1"/>
    </xf>
    <xf numFmtId="0" fontId="59" fillId="46" borderId="0">
      <alignment vertical="center" wrapText="1"/>
    </xf>
    <xf numFmtId="0" fontId="58" fillId="41" borderId="0"/>
    <xf numFmtId="0" fontId="58" fillId="41" borderId="0"/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62" fillId="41" borderId="0"/>
    <xf numFmtId="0" fontId="62" fillId="41" borderId="0"/>
    <xf numFmtId="0" fontId="62" fillId="41" borderId="0"/>
    <xf numFmtId="0" fontId="63" fillId="46" borderId="0">
      <alignment vertical="center" wrapText="1"/>
    </xf>
    <xf numFmtId="0" fontId="63" fillId="46" borderId="0">
      <alignment vertical="center" wrapText="1"/>
    </xf>
    <xf numFmtId="0" fontId="63" fillId="46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6" borderId="0">
      <alignment vertical="center" wrapText="1"/>
    </xf>
    <xf numFmtId="0" fontId="65" fillId="46" borderId="0">
      <alignment vertical="center" wrapText="1"/>
    </xf>
    <xf numFmtId="0" fontId="65" fillId="46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6" borderId="0">
      <alignment vertical="center" wrapText="1"/>
    </xf>
    <xf numFmtId="0" fontId="67" fillId="46" borderId="0">
      <alignment vertical="center" wrapText="1"/>
    </xf>
    <xf numFmtId="0" fontId="67" fillId="46" borderId="0">
      <alignment vertical="center" wrapText="1"/>
    </xf>
    <xf numFmtId="0" fontId="66" fillId="41" borderId="0"/>
    <xf numFmtId="0" fontId="66" fillId="41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72" fillId="0" borderId="0" applyNumberFormat="0" applyFill="0" applyBorder="0" applyProtection="0">
      <alignment vertical="top"/>
    </xf>
    <xf numFmtId="188" fontId="72" fillId="0" borderId="0" applyFill="0" applyProtection="0">
      <alignment vertical="top"/>
    </xf>
    <xf numFmtId="0" fontId="73" fillId="0" borderId="21" applyNumberFormat="0" applyFill="0" applyAlignment="0" applyProtection="0"/>
    <xf numFmtId="188" fontId="73" fillId="0" borderId="21" applyFill="0" applyAlignment="0" applyProtection="0"/>
    <xf numFmtId="0" fontId="74" fillId="0" borderId="22" applyNumberFormat="0" applyFill="0" applyProtection="0">
      <alignment horizontal="center"/>
    </xf>
    <xf numFmtId="188" fontId="74" fillId="0" borderId="22" applyFill="0" applyProtection="0">
      <alignment horizontal="center"/>
    </xf>
    <xf numFmtId="0" fontId="74" fillId="0" borderId="0" applyNumberFormat="0" applyFill="0" applyBorder="0" applyProtection="0">
      <alignment horizontal="left"/>
    </xf>
    <xf numFmtId="188" fontId="74" fillId="0" borderId="0" applyFill="0" applyProtection="0">
      <alignment horizontal="left"/>
    </xf>
    <xf numFmtId="0" fontId="75" fillId="0" borderId="0" applyNumberFormat="0" applyFill="0" applyBorder="0" applyProtection="0">
      <alignment horizontal="centerContinuous"/>
    </xf>
    <xf numFmtId="188" fontId="76" fillId="0" borderId="0" applyFill="0" applyProtection="0">
      <alignment horizontal="center"/>
    </xf>
    <xf numFmtId="0" fontId="77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8" fillId="0" borderId="0" applyNumberFormat="0" applyFill="0" applyBorder="0" applyAlignment="0" applyProtection="0"/>
    <xf numFmtId="0" fontId="79" fillId="0" borderId="0"/>
    <xf numFmtId="14" fontId="80" fillId="0" borderId="16">
      <alignment horizontal="centerContinuous"/>
    </xf>
    <xf numFmtId="14" fontId="80" fillId="0" borderId="16">
      <alignment horizontal="center"/>
    </xf>
    <xf numFmtId="192" fontId="81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" fontId="83" fillId="47" borderId="19" applyNumberFormat="0" applyFill="0" applyBorder="0" applyAlignment="0" applyProtection="0">
      <alignment horizontal="center" vertical="center" wrapText="1"/>
      <protection locked="0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51" borderId="0" applyNumberFormat="0" applyBorder="0" applyAlignment="0" applyProtection="0"/>
    <xf numFmtId="0" fontId="87" fillId="58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90" fillId="6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77" fillId="0" borderId="0">
      <protection locked="0"/>
    </xf>
    <xf numFmtId="0" fontId="91" fillId="0" borderId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8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70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71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65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73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49" fontId="56" fillId="0" borderId="0"/>
    <xf numFmtId="0" fontId="92" fillId="0" borderId="0">
      <alignment horizontal="center" wrapText="1"/>
      <protection locked="0"/>
    </xf>
    <xf numFmtId="0" fontId="92" fillId="0" borderId="0">
      <alignment horizontal="center" wrapText="1"/>
      <protection locked="0"/>
    </xf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194" fontId="28" fillId="0" borderId="0" applyFont="0" applyFill="0" applyBorder="0" applyAlignment="0" applyProtection="0"/>
    <xf numFmtId="0" fontId="94" fillId="56" borderId="24" applyNumberFormat="0" applyAlignment="0" applyProtection="0"/>
    <xf numFmtId="0" fontId="95" fillId="0" borderId="0" applyNumberFormat="0" applyFill="0" applyBorder="0" applyAlignment="0" applyProtection="0"/>
    <xf numFmtId="195" fontId="96" fillId="74" borderId="25" applyProtection="0"/>
    <xf numFmtId="195" fontId="96" fillId="74" borderId="25" applyProtection="0"/>
    <xf numFmtId="195" fontId="96" fillId="74" borderId="25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8" fillId="56" borderId="26" applyNumberFormat="0" applyAlignment="0" applyProtection="0"/>
    <xf numFmtId="0" fontId="99" fillId="75" borderId="0" applyNumberFormat="0" applyBorder="0" applyAlignment="0"/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3" fontId="84" fillId="0" borderId="27">
      <alignment horizontal="left" vertical="center"/>
    </xf>
    <xf numFmtId="0" fontId="100" fillId="50" borderId="0" applyNumberFormat="0" applyBorder="0" applyAlignment="0" applyProtection="0"/>
    <xf numFmtId="0" fontId="28" fillId="0" borderId="0"/>
    <xf numFmtId="196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98" fillId="56" borderId="26" applyNumberFormat="0" applyAlignment="0" applyProtection="0"/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2" fillId="56" borderId="26" applyNumberFormat="0" applyAlignment="0" applyProtection="0"/>
    <xf numFmtId="169" fontId="84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3" fillId="0" borderId="0"/>
    <xf numFmtId="0" fontId="104" fillId="0" borderId="0"/>
    <xf numFmtId="0" fontId="99" fillId="76" borderId="28" applyNumberFormat="0" applyAlignment="0" applyProtection="0"/>
    <xf numFmtId="0" fontId="105" fillId="0" borderId="29" applyNumberFormat="0" applyFill="0" applyAlignment="0" applyProtection="0"/>
    <xf numFmtId="0" fontId="106" fillId="0" borderId="29" applyNumberFormat="0" applyFill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199" fontId="108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9" fillId="77" borderId="14" applyNumberFormat="0" applyProtection="0">
      <alignment horizontal="center" vertical="center" wrapText="1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64" fillId="78" borderId="0" applyNumberFormat="0">
      <alignment horizontal="center" vertical="top" wrapText="1"/>
    </xf>
    <xf numFmtId="0" fontId="64" fillId="78" borderId="0" applyNumberFormat="0">
      <alignment horizontal="left" vertical="top" wrapText="1"/>
    </xf>
    <xf numFmtId="0" fontId="64" fillId="78" borderId="0" applyNumberFormat="0">
      <alignment horizontal="centerContinuous" vertical="top"/>
    </xf>
    <xf numFmtId="0" fontId="101" fillId="78" borderId="0" applyNumberFormat="0">
      <alignment horizontal="center" vertical="top" wrapText="1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0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0" fontId="4" fillId="79" borderId="32" applyNumberFormat="0" applyFont="0" applyAlignment="0" applyProtection="0"/>
    <xf numFmtId="0" fontId="113" fillId="0" borderId="0" applyNumberFormat="0" applyAlignment="0">
      <alignment horizontal="left"/>
    </xf>
    <xf numFmtId="0" fontId="66" fillId="0" borderId="33" applyAlignment="0"/>
    <xf numFmtId="206" fontId="101" fillId="0" borderId="0" applyFont="0" applyFill="0" applyBorder="0" applyAlignment="0" applyProtection="0">
      <alignment vertical="center"/>
    </xf>
    <xf numFmtId="0" fontId="28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1" fillId="0" borderId="0" applyFont="0" applyFill="0" applyBorder="0" applyAlignment="0" applyProtection="0">
      <alignment vertical="center"/>
    </xf>
    <xf numFmtId="209" fontId="101" fillId="0" borderId="0" applyFont="0" applyFill="0" applyBorder="0" applyAlignment="0" applyProtection="0">
      <alignment vertical="center"/>
    </xf>
    <xf numFmtId="210" fontId="101" fillId="0" borderId="0" applyFont="0" applyFill="0" applyBorder="0" applyAlignment="0" applyProtection="0">
      <alignment vertical="center"/>
    </xf>
    <xf numFmtId="211" fontId="101" fillId="0" borderId="0" applyFont="0" applyFill="0" applyBorder="0" applyAlignment="0" applyProtection="0">
      <alignment vertical="center"/>
    </xf>
    <xf numFmtId="212" fontId="101" fillId="0" borderId="0" applyFont="0" applyFill="0" applyBorder="0" applyAlignment="0" applyProtection="0">
      <alignment vertical="center"/>
    </xf>
    <xf numFmtId="213" fontId="101" fillId="0" borderId="0" applyFont="0" applyFill="0" applyBorder="0" applyAlignment="0" applyProtection="0">
      <alignment vertical="center"/>
    </xf>
    <xf numFmtId="214" fontId="101" fillId="0" borderId="0" applyFont="0" applyFill="0" applyBorder="0" applyAlignment="0" applyProtection="0">
      <alignment vertical="center"/>
    </xf>
    <xf numFmtId="215" fontId="101" fillId="0" borderId="0" applyFont="0" applyFill="0" applyBorder="0" applyAlignment="0" applyProtection="0">
      <alignment vertical="center"/>
    </xf>
    <xf numFmtId="216" fontId="101" fillId="0" borderId="0" applyFont="0" applyFill="0" applyBorder="0" applyAlignment="0" applyProtection="0">
      <alignment vertical="center"/>
    </xf>
    <xf numFmtId="217" fontId="101" fillId="0" borderId="0" applyFont="0" applyFill="0" applyBorder="0" applyAlignment="0" applyProtection="0">
      <alignment vertical="center"/>
    </xf>
    <xf numFmtId="218" fontId="101" fillId="0" borderId="0" applyFont="0" applyFill="0" applyBorder="0" applyAlignment="0" applyProtection="0">
      <alignment vertical="center"/>
    </xf>
    <xf numFmtId="219" fontId="101" fillId="0" borderId="0" applyFont="0" applyFill="0" applyBorder="0" applyAlignment="0" applyProtection="0">
      <alignment vertical="center"/>
    </xf>
    <xf numFmtId="0" fontId="114" fillId="53" borderId="26" applyNumberFormat="0" applyAlignment="0" applyProtection="0"/>
    <xf numFmtId="0" fontId="114" fillId="53" borderId="26" applyNumberFormat="0" applyAlignment="0" applyProtection="0"/>
    <xf numFmtId="0" fontId="114" fillId="53" borderId="26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220" fontId="101" fillId="0" borderId="0" applyFont="0" applyFill="0" applyBorder="0" applyAlignment="0" applyProtection="0">
      <alignment vertical="center"/>
    </xf>
    <xf numFmtId="221" fontId="101" fillId="0" borderId="0" applyFont="0" applyFill="0" applyBorder="0" applyAlignment="0" applyProtection="0">
      <alignment vertical="center"/>
    </xf>
    <xf numFmtId="222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14" fontId="87" fillId="0" borderId="0" applyFill="0" applyBorder="0" applyAlignment="0"/>
    <xf numFmtId="220" fontId="101" fillId="0" borderId="0" applyFont="0" applyFill="0" applyBorder="0" applyAlignment="0" applyProtection="0">
      <alignment vertical="center"/>
    </xf>
    <xf numFmtId="14" fontId="28" fillId="0" borderId="17" applyFill="0" applyBorder="0"/>
    <xf numFmtId="223" fontId="28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8" fillId="0" borderId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8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7" fillId="53" borderId="26" applyNumberFormat="0" applyAlignment="0" applyProtection="0"/>
    <xf numFmtId="0" fontId="119" fillId="0" borderId="0" applyNumberFormat="0" applyFill="0" applyBorder="0" applyAlignment="0" applyProtection="0"/>
    <xf numFmtId="0" fontId="90" fillId="68" borderId="0" applyNumberFormat="0" applyBorder="0" applyAlignment="0" applyProtection="0"/>
    <xf numFmtId="0" fontId="90" fillId="70" borderId="0" applyNumberFormat="0" applyBorder="0" applyAlignment="0" applyProtection="0"/>
    <xf numFmtId="0" fontId="90" fillId="71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73" borderId="0" applyNumberFormat="0" applyBorder="0" applyAlignment="0" applyProtection="0"/>
    <xf numFmtId="0" fontId="120" fillId="0" borderId="0" applyFill="0" applyBorder="0" applyAlignment="0"/>
    <xf numFmtId="0" fontId="120" fillId="0" borderId="0" applyFill="0" applyBorder="0" applyAlignment="0"/>
    <xf numFmtId="0" fontId="120" fillId="0" borderId="0" applyFill="0" applyBorder="0" applyAlignment="0"/>
    <xf numFmtId="0" fontId="4" fillId="0" borderId="0" applyFill="0" applyBorder="0" applyAlignment="0"/>
    <xf numFmtId="0" fontId="120" fillId="0" borderId="0" applyFill="0" applyBorder="0" applyAlignment="0"/>
    <xf numFmtId="0" fontId="121" fillId="0" borderId="0" applyNumberFormat="0" applyAlignment="0">
      <alignment horizontal="left"/>
    </xf>
    <xf numFmtId="0" fontId="122" fillId="53" borderId="26" applyNumberFormat="0" applyAlignment="0" applyProtection="0"/>
    <xf numFmtId="0" fontId="97" fillId="53" borderId="26" applyNumberFormat="0" applyAlignment="0" applyProtection="0"/>
    <xf numFmtId="0" fontId="123" fillId="0" borderId="34" applyNumberFormat="0" applyFill="0" applyAlignment="0" applyProtection="0"/>
    <xf numFmtId="0" fontId="124" fillId="0" borderId="0" applyNumberFormat="0" applyFill="0" applyBorder="0" applyAlignment="0" applyProtection="0"/>
    <xf numFmtId="0" fontId="43" fillId="0" borderId="0"/>
    <xf numFmtId="231" fontId="28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234" fontId="126" fillId="0" borderId="0">
      <protection locked="0"/>
    </xf>
    <xf numFmtId="0" fontId="127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38" fontId="66" fillId="41" borderId="0" applyNumberFormat="0" applyBorder="0" applyAlignment="0" applyProtection="0"/>
    <xf numFmtId="230" fontId="64" fillId="80" borderId="35">
      <alignment horizontal="center" vertical="center" wrapText="1"/>
    </xf>
    <xf numFmtId="1" fontId="62" fillId="81" borderId="36" applyBorder="0">
      <alignment vertical="center"/>
    </xf>
    <xf numFmtId="1" fontId="129" fillId="80" borderId="37" applyBorder="0">
      <alignment vertical="center"/>
    </xf>
    <xf numFmtId="0" fontId="130" fillId="50" borderId="0" applyNumberFormat="0" applyBorder="0" applyAlignment="0" applyProtection="0"/>
    <xf numFmtId="0" fontId="131" fillId="78" borderId="0" applyNumberFormat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horizontal="left" vertical="center"/>
    </xf>
    <xf numFmtId="0" fontId="64" fillId="0" borderId="0" applyNumberFormat="0" applyFill="0" applyBorder="0" applyAlignment="0" applyProtection="0">
      <alignment vertical="center"/>
    </xf>
    <xf numFmtId="235" fontId="135" fillId="0" borderId="0" applyNumberFormat="0" applyFill="0" applyBorder="0" applyProtection="0">
      <alignment horizontal="right"/>
    </xf>
    <xf numFmtId="0" fontId="134" fillId="0" borderId="18" applyNumberFormat="0" applyAlignment="0" applyProtection="0">
      <alignment horizontal="left" vertical="center"/>
    </xf>
    <xf numFmtId="0" fontId="134" fillId="0" borderId="15">
      <alignment horizontal="left" vertical="center"/>
    </xf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6" fontId="139" fillId="0" borderId="0">
      <protection locked="0"/>
    </xf>
    <xf numFmtId="236" fontId="139" fillId="0" borderId="0">
      <protection locked="0"/>
    </xf>
    <xf numFmtId="0" fontId="140" fillId="0" borderId="14">
      <alignment horizontal="center"/>
    </xf>
    <xf numFmtId="0" fontId="140" fillId="0" borderId="0">
      <alignment horizont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93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43" fillId="49" borderId="0" applyNumberFormat="0" applyBorder="0" applyAlignment="0" applyProtection="0"/>
    <xf numFmtId="0" fontId="28" fillId="0" borderId="0" applyNumberFormat="0" applyFill="0" applyBorder="0" applyAlignment="0" applyProtection="0"/>
    <xf numFmtId="10" fontId="66" fillId="43" borderId="19" applyNumberFormat="0" applyBorder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01" fillId="0" borderId="39" applyNumberFormat="0" applyAlignment="0">
      <alignment vertical="center"/>
    </xf>
    <xf numFmtId="195" fontId="145" fillId="83" borderId="0"/>
    <xf numFmtId="0" fontId="101" fillId="0" borderId="40" applyNumberFormat="0" applyAlignment="0">
      <alignment vertical="center"/>
      <protection locked="0"/>
    </xf>
    <xf numFmtId="204" fontId="101" fillId="84" borderId="40" applyNumberFormat="0" applyAlignment="0">
      <alignment vertical="center"/>
      <protection locked="0"/>
    </xf>
    <xf numFmtId="0" fontId="101" fillId="85" borderId="0" applyNumberFormat="0" applyAlignment="0">
      <alignment vertical="center"/>
    </xf>
    <xf numFmtId="0" fontId="101" fillId="86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0" borderId="41" applyNumberFormat="0" applyAlignment="0">
      <alignment vertical="center"/>
      <protection locked="0"/>
    </xf>
    <xf numFmtId="0" fontId="146" fillId="49" borderId="0" applyNumberFormat="0" applyBorder="0" applyAlignment="0" applyProtection="0"/>
    <xf numFmtId="237" fontId="147" fillId="0" borderId="0"/>
    <xf numFmtId="0" fontId="148" fillId="0" borderId="42" applyNumberFormat="0" applyBorder="0" applyAlignment="0" applyProtection="0">
      <alignment horizontal="left"/>
    </xf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10" fillId="0" borderId="0" applyNumberFormat="0" applyFont="0" applyFill="0" applyBorder="0" applyProtection="0">
      <alignment horizontal="left" vertical="center"/>
    </xf>
    <xf numFmtId="230" fontId="151" fillId="0" borderId="0">
      <alignment horizontal="left"/>
    </xf>
    <xf numFmtId="0" fontId="152" fillId="0" borderId="0" applyFill="0" applyBorder="0" applyAlignment="0"/>
    <xf numFmtId="0" fontId="152" fillId="0" borderId="0" applyFill="0" applyBorder="0" applyAlignment="0"/>
    <xf numFmtId="0" fontId="152" fillId="0" borderId="0" applyFill="0" applyBorder="0" applyAlignment="0"/>
    <xf numFmtId="0" fontId="4" fillId="0" borderId="0" applyFill="0" applyBorder="0" applyAlignment="0"/>
    <xf numFmtId="0" fontId="152" fillId="0" borderId="0" applyFill="0" applyBorder="0" applyAlignment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195" fontId="28" fillId="87" borderId="0"/>
    <xf numFmtId="0" fontId="28" fillId="88" borderId="0" applyNumberFormat="0" applyFont="0" applyBorder="0" applyAlignment="0"/>
    <xf numFmtId="238" fontId="28" fillId="89" borderId="43" applyNumberFormat="0" applyFont="0" applyBorder="0" applyAlignment="0"/>
    <xf numFmtId="188" fontId="54" fillId="90" borderId="0" applyFont="0" applyAlignment="0"/>
    <xf numFmtId="239" fontId="153" fillId="0" borderId="0" applyFont="0" applyFill="0" applyBorder="0" applyAlignment="0" applyProtection="0"/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5" fillId="0" borderId="0" applyFill="0" applyBorder="0" applyAlignment="0" applyProtection="0"/>
    <xf numFmtId="243" fontId="155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5" fillId="0" borderId="0" applyFill="0" applyBorder="0" applyAlignment="0" applyProtection="0"/>
    <xf numFmtId="247" fontId="155" fillId="0" borderId="0" applyFill="0" applyBorder="0" applyAlignment="0" applyProtection="0"/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77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8" fillId="0" borderId="14"/>
    <xf numFmtId="0" fontId="53" fillId="0" borderId="0" applyFont="0" applyFill="0" applyBorder="0" applyAlignment="0" applyProtection="0"/>
    <xf numFmtId="250" fontId="77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3" fillId="0" borderId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60" fillId="0" borderId="0" applyNumberFormat="0" applyFill="0" applyBorder="0" applyProtection="0">
      <alignment horizontal="left"/>
    </xf>
    <xf numFmtId="253" fontId="28" fillId="0" borderId="47" applyBorder="0" applyAlignment="0" applyProtection="0">
      <alignment horizontal="center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1" fillId="44" borderId="0" applyNumberFormat="0" applyBorder="0" applyAlignment="0" applyProtection="0"/>
    <xf numFmtId="0" fontId="163" fillId="0" borderId="0"/>
    <xf numFmtId="0" fontId="163" fillId="0" borderId="0"/>
    <xf numFmtId="0" fontId="164" fillId="0" borderId="0"/>
    <xf numFmtId="0" fontId="165" fillId="0" borderId="0" applyNumberFormat="0" applyFont="0" applyFill="0" applyBorder="0" applyAlignment="0" applyProtection="0"/>
    <xf numFmtId="254" fontId="166" fillId="0" borderId="0"/>
    <xf numFmtId="254" fontId="166" fillId="0" borderId="0"/>
    <xf numFmtId="0" fontId="85" fillId="0" borderId="0"/>
    <xf numFmtId="0" fontId="4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 applyNumberFormat="0" applyFont="0" applyFill="0" applyBorder="0" applyAlignment="0" applyProtection="0">
      <alignment vertical="top"/>
    </xf>
    <xf numFmtId="0" fontId="11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2" fillId="0" borderId="0"/>
    <xf numFmtId="0" fontId="101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1" fillId="0" borderId="0">
      <alignment vertical="center"/>
    </xf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1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28" fillId="0" borderId="0"/>
    <xf numFmtId="0" fontId="85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" fillId="0" borderId="0"/>
    <xf numFmtId="0" fontId="112" fillId="0" borderId="0"/>
    <xf numFmtId="0" fontId="112" fillId="0" borderId="0"/>
    <xf numFmtId="0" fontId="41" fillId="0" borderId="0"/>
    <xf numFmtId="0" fontId="42" fillId="0" borderId="0"/>
    <xf numFmtId="0" fontId="42" fillId="0" borderId="0">
      <alignment vertical="center"/>
    </xf>
    <xf numFmtId="0" fontId="4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1" fillId="0" borderId="0">
      <alignment vertical="center"/>
    </xf>
    <xf numFmtId="0" fontId="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85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8" fillId="0" borderId="0"/>
    <xf numFmtId="0" fontId="4" fillId="0" borderId="0"/>
    <xf numFmtId="0" fontId="43" fillId="0" borderId="0"/>
    <xf numFmtId="0" fontId="112" fillId="0" borderId="0"/>
    <xf numFmtId="0" fontId="4" fillId="0" borderId="0"/>
    <xf numFmtId="0" fontId="112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6" fillId="0" borderId="0"/>
    <xf numFmtId="0" fontId="66" fillId="0" borderId="0"/>
    <xf numFmtId="0" fontId="28" fillId="0" borderId="0"/>
    <xf numFmtId="0" fontId="41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 applyNumberFormat="0" applyFill="0" applyBorder="0" applyAlignment="0" applyProtection="0"/>
    <xf numFmtId="0" fontId="42" fillId="0" borderId="0"/>
    <xf numFmtId="0" fontId="41" fillId="0" borderId="0"/>
    <xf numFmtId="0" fontId="4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112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1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112" fillId="0" borderId="0"/>
    <xf numFmtId="0" fontId="2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28" fillId="0" borderId="0"/>
    <xf numFmtId="0" fontId="7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11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7" fillId="0" borderId="0"/>
    <xf numFmtId="0" fontId="167" fillId="0" borderId="0"/>
    <xf numFmtId="0" fontId="168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0" fillId="0" borderId="0"/>
    <xf numFmtId="0" fontId="43" fillId="0" borderId="0"/>
    <xf numFmtId="0" fontId="110" fillId="0" borderId="0"/>
    <xf numFmtId="0" fontId="2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43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20" fillId="0" borderId="0">
      <alignment vertical="top"/>
      <protection locked="0"/>
    </xf>
    <xf numFmtId="0" fontId="4" fillId="0" borderId="0"/>
    <xf numFmtId="0" fontId="1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7" fillId="0" borderId="0"/>
    <xf numFmtId="0" fontId="117" fillId="0" borderId="0"/>
    <xf numFmtId="0" fontId="43" fillId="0" borderId="0"/>
    <xf numFmtId="0" fontId="117" fillId="0" borderId="0"/>
    <xf numFmtId="0" fontId="117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117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117" fillId="0" borderId="0"/>
    <xf numFmtId="0" fontId="4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86" fillId="0" borderId="0"/>
    <xf numFmtId="0" fontId="86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168" fillId="0" borderId="0"/>
    <xf numFmtId="0" fontId="4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12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79" borderId="32" applyNumberFormat="0" applyFont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1" fillId="0" borderId="0" applyFont="0" applyFill="0" applyBorder="0" applyAlignment="0" applyProtection="0">
      <alignment vertical="center"/>
    </xf>
    <xf numFmtId="199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0" fontId="170" fillId="56" borderId="26" applyNumberFormat="0" applyAlignment="0" applyProtection="0"/>
    <xf numFmtId="0" fontId="170" fillId="56" borderId="26" applyNumberFormat="0" applyAlignment="0" applyProtection="0"/>
    <xf numFmtId="0" fontId="170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5" fillId="0" borderId="48" applyNumberFormat="0" applyFont="0" applyFill="0" applyProtection="0">
      <alignment vertical="top" wrapText="1"/>
    </xf>
    <xf numFmtId="0" fontId="171" fillId="0" borderId="49" applyNumberFormat="0" applyFont="0" applyBorder="0" applyAlignment="0">
      <alignment horizontal="left" vertical="center"/>
    </xf>
    <xf numFmtId="0" fontId="171" fillId="0" borderId="49" applyNumberFormat="0" applyFont="0" applyBorder="0" applyAlignment="0">
      <alignment vertical="center"/>
    </xf>
    <xf numFmtId="0" fontId="171" fillId="0" borderId="49" applyNumberFormat="0" applyBorder="0" applyAlignment="0">
      <alignment horizontal="left"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257" fontId="96" fillId="74" borderId="50" applyProtection="0"/>
    <xf numFmtId="257" fontId="96" fillId="74" borderId="50" applyProtection="0"/>
    <xf numFmtId="257" fontId="96" fillId="74" borderId="50" applyProtection="0"/>
    <xf numFmtId="14" fontId="92" fillId="0" borderId="0">
      <alignment horizontal="center" wrapText="1"/>
      <protection locked="0"/>
    </xf>
    <xf numFmtId="14" fontId="92" fillId="0" borderId="0">
      <alignment horizontal="center" wrapText="1"/>
      <protection locked="0"/>
    </xf>
    <xf numFmtId="172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6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horizontal="right" vertical="center"/>
    </xf>
    <xf numFmtId="260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0" fontId="172" fillId="0" borderId="0" applyNumberFormat="0" applyBorder="0" applyAlignment="0">
      <protection locked="0"/>
    </xf>
    <xf numFmtId="0" fontId="172" fillId="0" borderId="0" applyNumberFormat="0" applyBorder="0" applyAlignment="0">
      <protection locked="0"/>
    </xf>
    <xf numFmtId="1" fontId="173" fillId="0" borderId="0" applyNumberFormat="0" applyAlignment="0">
      <alignment horizontal="center"/>
    </xf>
    <xf numFmtId="0" fontId="174" fillId="0" borderId="0" applyFont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75" fillId="0" borderId="0" applyFill="0" applyBorder="0" applyAlignment="0"/>
    <xf numFmtId="0" fontId="175" fillId="0" borderId="0" applyFill="0" applyBorder="0" applyAlignment="0"/>
    <xf numFmtId="0" fontId="175" fillId="0" borderId="0" applyFill="0" applyBorder="0" applyAlignment="0"/>
    <xf numFmtId="0" fontId="4" fillId="0" borderId="0" applyFill="0" applyBorder="0" applyAlignment="0"/>
    <xf numFmtId="0" fontId="175" fillId="0" borderId="0" applyFill="0" applyBorder="0" applyAlignment="0"/>
    <xf numFmtId="0" fontId="4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28" fillId="0" borderId="14">
      <alignment horizontal="center"/>
    </xf>
    <xf numFmtId="0" fontId="28" fillId="0" borderId="14">
      <alignment horizontal="center"/>
    </xf>
    <xf numFmtId="3" fontId="53" fillId="0" borderId="0" applyFont="0" applyFill="0" applyBorder="0" applyAlignment="0" applyProtection="0"/>
    <xf numFmtId="0" fontId="53" fillId="92" borderId="0" applyNumberFormat="0" applyFont="0" applyBorder="0" applyAlignment="0" applyProtection="0"/>
    <xf numFmtId="0" fontId="53" fillId="92" borderId="0" applyNumberFormat="0" applyFont="0" applyBorder="0" applyAlignment="0" applyProtection="0"/>
    <xf numFmtId="261" fontId="28" fillId="0" borderId="0" applyFont="0" applyFill="0" applyBorder="0" applyAlignment="0" applyProtection="0"/>
    <xf numFmtId="49" fontId="101" fillId="0" borderId="0">
      <alignment horizontal="right"/>
    </xf>
    <xf numFmtId="0" fontId="176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09" fillId="77" borderId="13" applyNumberFormat="0" applyBorder="0" applyProtection="0">
      <alignment horizontal="left" wrapText="1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64" fillId="0" borderId="0" applyNumberFormat="0" applyFill="0" applyBorder="0">
      <alignment horizontal="left" vertical="center" wrapText="1"/>
    </xf>
    <xf numFmtId="0" fontId="101" fillId="0" borderId="0" applyNumberFormat="0" applyFill="0" applyBorder="0">
      <alignment horizontal="left" vertical="center" wrapText="1" indent="1"/>
    </xf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77" fillId="56" borderId="24" applyNumberFormat="0" applyAlignment="0" applyProtection="0"/>
    <xf numFmtId="4" fontId="178" fillId="44" borderId="53" applyNumberFormat="0" applyProtection="0">
      <alignment vertical="center"/>
    </xf>
    <xf numFmtId="4" fontId="179" fillId="47" borderId="53" applyNumberFormat="0" applyProtection="0">
      <alignment vertical="center"/>
    </xf>
    <xf numFmtId="4" fontId="178" fillId="47" borderId="53" applyNumberFormat="0" applyProtection="0">
      <alignment horizontal="left" vertical="center" indent="1"/>
    </xf>
    <xf numFmtId="0" fontId="178" fillId="47" borderId="53" applyNumberFormat="0" applyProtection="0">
      <alignment horizontal="left" vertical="top" indent="1"/>
    </xf>
    <xf numFmtId="4" fontId="178" fillId="94" borderId="0" applyNumberFormat="0" applyProtection="0">
      <alignment horizontal="left" vertical="center" indent="1"/>
    </xf>
    <xf numFmtId="4" fontId="87" fillId="49" borderId="53" applyNumberFormat="0" applyProtection="0">
      <alignment horizontal="right" vertical="center"/>
    </xf>
    <xf numFmtId="4" fontId="87" fillId="59" borderId="53" applyNumberFormat="0" applyProtection="0">
      <alignment horizontal="right" vertical="center"/>
    </xf>
    <xf numFmtId="4" fontId="87" fillId="70" borderId="53" applyNumberFormat="0" applyProtection="0">
      <alignment horizontal="right" vertical="center"/>
    </xf>
    <xf numFmtId="4" fontId="87" fillId="61" borderId="53" applyNumberFormat="0" applyProtection="0">
      <alignment horizontal="right" vertical="center"/>
    </xf>
    <xf numFmtId="4" fontId="87" fillId="67" borderId="53" applyNumberFormat="0" applyProtection="0">
      <alignment horizontal="right" vertical="center"/>
    </xf>
    <xf numFmtId="4" fontId="87" fillId="73" borderId="53" applyNumberFormat="0" applyProtection="0">
      <alignment horizontal="right" vertical="center"/>
    </xf>
    <xf numFmtId="4" fontId="87" fillId="71" borderId="53" applyNumberFormat="0" applyProtection="0">
      <alignment horizontal="right" vertical="center"/>
    </xf>
    <xf numFmtId="4" fontId="87" fillId="95" borderId="53" applyNumberFormat="0" applyProtection="0">
      <alignment horizontal="right" vertical="center"/>
    </xf>
    <xf numFmtId="4" fontId="87" fillId="60" borderId="53" applyNumberFormat="0" applyProtection="0">
      <alignment horizontal="right" vertical="center"/>
    </xf>
    <xf numFmtId="4" fontId="178" fillId="96" borderId="54" applyNumberFormat="0" applyProtection="0">
      <alignment horizontal="left" vertical="center" indent="1"/>
    </xf>
    <xf numFmtId="4" fontId="87" fillId="97" borderId="0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4" fontId="87" fillId="99" borderId="53" applyNumberFormat="0" applyProtection="0">
      <alignment horizontal="right" vertical="center"/>
    </xf>
    <xf numFmtId="4" fontId="87" fillId="97" borderId="0" applyNumberFormat="0" applyProtection="0">
      <alignment horizontal="left" vertical="center" indent="1"/>
    </xf>
    <xf numFmtId="4" fontId="87" fillId="94" borderId="0" applyNumberFormat="0" applyProtection="0">
      <alignment horizontal="left" vertical="center" indent="1"/>
    </xf>
    <xf numFmtId="0" fontId="28" fillId="98" borderId="53" applyNumberFormat="0" applyProtection="0">
      <alignment horizontal="left" vertical="center" indent="1"/>
    </xf>
    <xf numFmtId="0" fontId="28" fillId="98" borderId="53" applyNumberFormat="0" applyProtection="0">
      <alignment horizontal="left" vertical="top" indent="1"/>
    </xf>
    <xf numFmtId="0" fontId="28" fillId="94" borderId="53" applyNumberFormat="0" applyProtection="0">
      <alignment horizontal="left" vertical="center" indent="1"/>
    </xf>
    <xf numFmtId="0" fontId="28" fillId="94" borderId="53" applyNumberFormat="0" applyProtection="0">
      <alignment horizontal="left" vertical="top" indent="1"/>
    </xf>
    <xf numFmtId="0" fontId="28" fillId="42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top" indent="1"/>
    </xf>
    <xf numFmtId="0" fontId="28" fillId="78" borderId="53" applyNumberFormat="0" applyProtection="0">
      <alignment horizontal="left" vertical="center" indent="1"/>
    </xf>
    <xf numFmtId="0" fontId="28" fillId="78" borderId="53" applyNumberFormat="0" applyProtection="0">
      <alignment horizontal="left" vertical="top" indent="1"/>
    </xf>
    <xf numFmtId="4" fontId="87" fillId="43" borderId="53" applyNumberFormat="0" applyProtection="0">
      <alignment vertical="center"/>
    </xf>
    <xf numFmtId="4" fontId="181" fillId="43" borderId="53" applyNumberFormat="0" applyProtection="0">
      <alignment vertical="center"/>
    </xf>
    <xf numFmtId="4" fontId="87" fillId="43" borderId="53" applyNumberFormat="0" applyProtection="0">
      <alignment horizontal="left" vertical="center" indent="1"/>
    </xf>
    <xf numFmtId="0" fontId="87" fillId="43" borderId="53" applyNumberFormat="0" applyProtection="0">
      <alignment horizontal="left" vertical="top" indent="1"/>
    </xf>
    <xf numFmtId="4" fontId="87" fillId="97" borderId="53" applyNumberFormat="0" applyProtection="0">
      <alignment horizontal="right" vertical="center"/>
    </xf>
    <xf numFmtId="4" fontId="181" fillId="97" borderId="53" applyNumberFormat="0" applyProtection="0">
      <alignment horizontal="right" vertical="center"/>
    </xf>
    <xf numFmtId="4" fontId="87" fillId="99" borderId="53" applyNumberFormat="0" applyProtection="0">
      <alignment horizontal="left" vertical="center" indent="1"/>
    </xf>
    <xf numFmtId="0" fontId="87" fillId="94" borderId="53" applyNumberFormat="0" applyProtection="0">
      <alignment horizontal="left" vertical="top" indent="1"/>
    </xf>
    <xf numFmtId="4" fontId="182" fillId="83" borderId="0" applyNumberFormat="0" applyProtection="0">
      <alignment horizontal="left" vertical="center" indent="1"/>
    </xf>
    <xf numFmtId="4" fontId="175" fillId="97" borderId="53" applyNumberFormat="0" applyProtection="0">
      <alignment horizontal="right" vertical="center"/>
    </xf>
    <xf numFmtId="0" fontId="28" fillId="0" borderId="0" applyNumberFormat="0" applyFont="0" applyFill="0" applyBorder="0" applyAlignment="0" applyProtection="0"/>
    <xf numFmtId="0" fontId="130" fillId="50" borderId="0" applyNumberFormat="0" applyBorder="0" applyAlignment="0" applyProtection="0"/>
    <xf numFmtId="0" fontId="146" fillId="49" borderId="0" applyNumberFormat="0" applyBorder="0" applyAlignment="0" applyProtection="0"/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49" fontId="184" fillId="100" borderId="55"/>
    <xf numFmtId="49" fontId="184" fillId="100" borderId="0"/>
    <xf numFmtId="0" fontId="185" fillId="7" borderId="55">
      <protection locked="0"/>
    </xf>
    <xf numFmtId="0" fontId="185" fillId="100" borderId="0"/>
    <xf numFmtId="0" fontId="176" fillId="1" borderId="15" applyNumberFormat="0" applyFont="0" applyAlignment="0">
      <alignment horizontal="center"/>
    </xf>
    <xf numFmtId="0" fontId="186" fillId="0" borderId="0" applyNumberFormat="0" applyFill="0" applyBorder="0" applyAlignment="0" applyProtection="0">
      <alignment vertical="top"/>
      <protection locked="0"/>
    </xf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0" fontId="94" fillId="56" borderId="24" applyNumberFormat="0" applyAlignment="0" applyProtection="0"/>
    <xf numFmtId="3" fontId="66" fillId="0" borderId="0"/>
    <xf numFmtId="0" fontId="187" fillId="0" borderId="0" applyNumberFormat="0" applyFill="0" applyBorder="0" applyAlignment="0">
      <alignment horizontal="center"/>
    </xf>
    <xf numFmtId="0" fontId="188" fillId="0" borderId="0"/>
    <xf numFmtId="0" fontId="42" fillId="0" borderId="0"/>
    <xf numFmtId="4" fontId="189" fillId="0" borderId="0"/>
    <xf numFmtId="4" fontId="80" fillId="0" borderId="0">
      <alignment horizontal="center"/>
    </xf>
    <xf numFmtId="0" fontId="190" fillId="0" borderId="0"/>
    <xf numFmtId="0" fontId="19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>
      <alignment vertical="top"/>
    </xf>
    <xf numFmtId="0" fontId="28" fillId="0" borderId="0"/>
    <xf numFmtId="40" fontId="192" fillId="0" borderId="0" applyBorder="0">
      <alignment horizontal="right"/>
    </xf>
    <xf numFmtId="204" fontId="64" fillId="0" borderId="56" applyNumberFormat="0" applyFill="0" applyAlignment="0" applyProtection="0">
      <alignment vertical="center"/>
    </xf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4" fontId="194" fillId="0" borderId="57" applyFill="0" applyProtection="0"/>
    <xf numFmtId="204" fontId="101" fillId="0" borderId="58" applyNumberFormat="0" applyFont="0" applyFill="0" applyAlignment="0" applyProtection="0">
      <alignment vertical="center"/>
    </xf>
    <xf numFmtId="3" fontId="64" fillId="0" borderId="0" applyNumberFormat="0"/>
    <xf numFmtId="0" fontId="101" fillId="41" borderId="0" applyNumberFormat="0" applyFont="0" applyBorder="0" applyAlignment="0" applyProtection="0">
      <alignment vertical="center"/>
    </xf>
    <xf numFmtId="0" fontId="101" fillId="0" borderId="0" applyNumberFormat="0" applyFont="0" applyFill="0" applyAlignment="0" applyProtection="0">
      <alignment vertical="center"/>
    </xf>
    <xf numFmtId="204" fontId="101" fillId="0" borderId="0" applyNumberFormat="0" applyFont="0" applyBorder="0" applyAlignment="0" applyProtection="0">
      <alignment vertical="center"/>
    </xf>
    <xf numFmtId="0" fontId="28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33" fillId="0" borderId="0" applyNumberFormat="0" applyFont="0" applyBorder="0" applyAlignment="0"/>
    <xf numFmtId="49" fontId="101" fillId="0" borderId="0" applyFont="0" applyFill="0" applyBorder="0" applyAlignment="0" applyProtection="0">
      <alignment horizontal="center" vertical="center"/>
    </xf>
    <xf numFmtId="4" fontId="197" fillId="0" borderId="0">
      <alignment horizontal="left"/>
    </xf>
    <xf numFmtId="49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6" fillId="0" borderId="59" applyNumberFormat="0" applyBorder="0" applyAlignment="0"/>
    <xf numFmtId="0" fontId="12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" fillId="0" borderId="0"/>
    <xf numFmtId="0" fontId="4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3" fontId="200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5" fillId="0" borderId="44" applyNumberFormat="0" applyFill="0" applyAlignment="0" applyProtection="0"/>
    <xf numFmtId="0" fontId="206" fillId="0" borderId="45" applyNumberFormat="0" applyFill="0" applyAlignment="0" applyProtection="0"/>
    <xf numFmtId="0" fontId="119" fillId="0" borderId="46" applyNumberFormat="0" applyFill="0" applyAlignment="0" applyProtection="0"/>
    <xf numFmtId="0" fontId="207" fillId="0" borderId="0" applyNumberFormat="0" applyFill="0" applyBorder="0" applyAlignment="0" applyProtection="0"/>
    <xf numFmtId="0" fontId="64" fillId="0" borderId="15">
      <alignment horizontal="right" wrapText="1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0" fontId="123" fillId="0" borderId="34" applyNumberFormat="0" applyFill="0" applyAlignment="0" applyProtection="0"/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78" borderId="0" applyNumberFormat="0" applyAlignment="0" applyProtection="0">
      <alignment vertical="center"/>
    </xf>
    <xf numFmtId="0" fontId="208" fillId="0" borderId="14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101" fillId="0" borderId="0" applyNumberFormat="0" applyFont="0" applyBorder="0" applyAlignment="0" applyProtection="0">
      <alignment vertical="center"/>
    </xf>
    <xf numFmtId="0" fontId="101" fillId="0" borderId="0" applyNumberFormat="0" applyFont="0" applyAlignment="0" applyProtection="0">
      <alignment vertical="center"/>
    </xf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107" fillId="76" borderId="28" applyNumberFormat="0" applyAlignment="0" applyProtection="0"/>
    <xf numFmtId="0" fontId="106" fillId="0" borderId="29" applyNumberFormat="0" applyFill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210" fillId="0" borderId="0" applyNumberFormat="0" applyFont="0" applyFill="0" applyBorder="0" applyProtection="0">
      <alignment horizontal="center" vertical="center" wrapText="1"/>
    </xf>
    <xf numFmtId="265" fontId="28" fillId="0" borderId="0" applyBorder="0" applyProtection="0"/>
    <xf numFmtId="4" fontId="80" fillId="0" borderId="0"/>
    <xf numFmtId="265" fontId="28" fillId="0" borderId="0" applyBorder="0"/>
    <xf numFmtId="0" fontId="211" fillId="0" borderId="49" applyNumberFormat="0" applyFont="0" applyBorder="0" applyAlignment="0">
      <alignment horizontal="left" vertical="center"/>
    </xf>
    <xf numFmtId="0" fontId="107" fillId="76" borderId="28" applyNumberFormat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8" fillId="0" borderId="0"/>
    <xf numFmtId="241" fontId="213" fillId="0" borderId="0" applyFont="0" applyFill="0" applyBorder="0" applyAlignment="0" applyProtection="0"/>
    <xf numFmtId="0" fontId="28" fillId="0" borderId="0"/>
    <xf numFmtId="0" fontId="1" fillId="0" borderId="0"/>
    <xf numFmtId="0" fontId="41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>
      <alignment vertical="top"/>
      <protection locked="0"/>
    </xf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20" fillId="0" borderId="0">
      <alignment vertical="top"/>
      <protection locked="0"/>
    </xf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4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4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4" fontId="12" fillId="3" borderId="1" xfId="0" applyNumberFormat="1" applyFont="1" applyFill="1" applyBorder="1" applyAlignment="1">
      <alignment vertical="center" wrapText="1"/>
    </xf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166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0" fontId="12" fillId="0" borderId="0" xfId="3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9" fillId="9" borderId="3" xfId="0" applyNumberFormat="1" applyFont="1" applyFill="1" applyBorder="1" applyAlignment="1">
      <alignment horizontal="center" vertical="center" wrapText="1"/>
    </xf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4" fontId="16" fillId="0" borderId="0" xfId="0" applyNumberFormat="1" applyFont="1"/>
    <xf numFmtId="0" fontId="17" fillId="0" borderId="0" xfId="0" applyFont="1"/>
    <xf numFmtId="0" fontId="18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8" fillId="2" borderId="0" xfId="0" applyNumberFormat="1" applyFont="1" applyFill="1" applyAlignment="1">
      <alignment horizontal="right"/>
    </xf>
    <xf numFmtId="3" fontId="18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4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5" fillId="0" borderId="0" xfId="0" applyFont="1"/>
    <xf numFmtId="4" fontId="0" fillId="0" borderId="0" xfId="0" applyNumberFormat="1"/>
    <xf numFmtId="4" fontId="18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0" fontId="12" fillId="7" borderId="0" xfId="4" applyFont="1" applyFill="1" applyAlignment="1">
      <alignment horizontal="left" wrapText="1"/>
    </xf>
    <xf numFmtId="0" fontId="216" fillId="9" borderId="60" xfId="4" applyFont="1" applyFill="1" applyBorder="1" applyAlignment="1">
      <alignment vertical="center" wrapText="1"/>
    </xf>
    <xf numFmtId="0" fontId="12" fillId="0" borderId="0" xfId="1525" applyFont="1" applyAlignment="1">
      <alignment wrapText="1"/>
    </xf>
    <xf numFmtId="0" fontId="13" fillId="0" borderId="0" xfId="1525" applyFont="1" applyAlignment="1">
      <alignment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Fill="1" applyBorder="1" applyAlignment="1">
      <alignment horizontal="right" vertical="center" wrapText="1"/>
    </xf>
    <xf numFmtId="3" fontId="217" fillId="0" borderId="0" xfId="0" applyNumberFormat="1" applyFont="1"/>
    <xf numFmtId="0" fontId="216" fillId="9" borderId="60" xfId="4" applyFont="1" applyFill="1" applyBorder="1" applyAlignment="1">
      <alignment horizontal="center" vertical="center" wrapText="1"/>
    </xf>
    <xf numFmtId="0" fontId="216" fillId="9" borderId="61" xfId="4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</cellXfs>
  <cellStyles count="41906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C58"/>
  <sheetViews>
    <sheetView tabSelected="1" zoomScaleNormal="100" workbookViewId="0">
      <pane xSplit="2" topLeftCell="T1" activePane="topRight" state="frozen"/>
      <selection pane="topRight"/>
    </sheetView>
  </sheetViews>
  <sheetFormatPr defaultColWidth="9.28515625" defaultRowHeight="10.199999999999999"/>
  <cols>
    <col min="1" max="1" width="21" style="6" customWidth="1"/>
    <col min="2" max="2" width="56.42578125" style="7" bestFit="1" customWidth="1"/>
    <col min="3" max="19" width="9.140625" style="8" bestFit="1" customWidth="1"/>
    <col min="20" max="27" width="12.28515625" style="8" customWidth="1"/>
    <col min="28" max="28" width="12.28515625" style="89" customWidth="1"/>
    <col min="29" max="29" width="12.42578125" style="7" customWidth="1"/>
    <col min="30" max="16384" width="9.28515625" style="7"/>
  </cols>
  <sheetData>
    <row r="1" spans="1:29" ht="10.8" thickBot="1"/>
    <row r="2" spans="1:29" s="6" customFormat="1" ht="24" customHeight="1" thickBot="1">
      <c r="A2" s="6" t="s">
        <v>188</v>
      </c>
      <c r="B2" s="5" t="s">
        <v>56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>
        <v>43101</v>
      </c>
      <c r="P2" s="5" t="s">
        <v>30</v>
      </c>
      <c r="Q2" s="5" t="s">
        <v>31</v>
      </c>
      <c r="R2" s="5" t="s">
        <v>32</v>
      </c>
      <c r="S2" s="5" t="s">
        <v>34</v>
      </c>
      <c r="T2" s="5" t="s">
        <v>36</v>
      </c>
      <c r="U2" s="5" t="s">
        <v>352</v>
      </c>
      <c r="V2" s="5" t="s">
        <v>180</v>
      </c>
      <c r="W2" s="5" t="s">
        <v>353</v>
      </c>
      <c r="X2" s="5" t="s">
        <v>358</v>
      </c>
      <c r="Y2" s="5" t="s">
        <v>364</v>
      </c>
      <c r="Z2" s="5" t="s">
        <v>370</v>
      </c>
      <c r="AA2" s="5" t="s">
        <v>374</v>
      </c>
      <c r="AB2" s="5" t="s">
        <v>392</v>
      </c>
    </row>
    <row r="3" spans="1:29" s="6" customFormat="1" ht="9.6">
      <c r="A3" s="9" t="s">
        <v>354</v>
      </c>
      <c r="B3" s="13" t="s">
        <v>356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4">
        <v>1082991</v>
      </c>
      <c r="P3" s="15">
        <v>1439945</v>
      </c>
      <c r="Q3" s="14">
        <v>1480368</v>
      </c>
      <c r="R3" s="15">
        <v>2189297</v>
      </c>
      <c r="S3" s="14">
        <v>2078638</v>
      </c>
      <c r="T3" s="15">
        <v>1337436</v>
      </c>
      <c r="U3" s="14">
        <v>1786149</v>
      </c>
      <c r="V3" s="15">
        <v>946753</v>
      </c>
      <c r="W3" s="25">
        <v>1379127</v>
      </c>
      <c r="X3" s="15">
        <v>1960949</v>
      </c>
      <c r="Y3" s="25">
        <v>1128515</v>
      </c>
      <c r="Z3" s="15">
        <v>1636919</v>
      </c>
      <c r="AA3" s="25">
        <v>2459901</v>
      </c>
      <c r="AB3" s="15">
        <v>2163566</v>
      </c>
      <c r="AC3" s="88"/>
    </row>
    <row r="4" spans="1:29" s="6" customFormat="1" thickBot="1">
      <c r="A4" s="10" t="s">
        <v>183</v>
      </c>
      <c r="B4" s="13" t="s">
        <v>39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4">
        <v>1366316</v>
      </c>
      <c r="P4" s="15">
        <v>1127806</v>
      </c>
      <c r="Q4" s="14">
        <v>742611</v>
      </c>
      <c r="R4" s="15">
        <v>844168</v>
      </c>
      <c r="S4" s="14">
        <v>172839</v>
      </c>
      <c r="T4" s="15">
        <v>508103</v>
      </c>
      <c r="U4" s="14">
        <v>998666</v>
      </c>
      <c r="V4" s="15">
        <v>2944993</v>
      </c>
      <c r="W4" s="25" t="s">
        <v>359</v>
      </c>
      <c r="X4" s="15">
        <v>276081</v>
      </c>
      <c r="Y4" s="25">
        <v>290545</v>
      </c>
      <c r="Z4" s="15">
        <v>330542</v>
      </c>
      <c r="AA4" s="25">
        <v>508371</v>
      </c>
      <c r="AB4" s="15">
        <v>400453</v>
      </c>
      <c r="AC4" s="88"/>
    </row>
    <row r="5" spans="1:29" s="6" customFormat="1" thickBot="1">
      <c r="A5" s="9" t="s">
        <v>184</v>
      </c>
      <c r="B5" s="18" t="s">
        <v>59</v>
      </c>
      <c r="C5" s="14">
        <v>3019245</v>
      </c>
      <c r="D5" s="19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4">
        <v>9796151</v>
      </c>
      <c r="P5" s="15">
        <v>13410165</v>
      </c>
      <c r="Q5" s="14">
        <v>12880942</v>
      </c>
      <c r="R5" s="15">
        <v>12121684</v>
      </c>
      <c r="S5" s="14">
        <v>13727570</v>
      </c>
      <c r="T5" s="15">
        <v>14030865</v>
      </c>
      <c r="U5" s="14">
        <v>14110362</v>
      </c>
      <c r="V5" s="15">
        <v>12707488</v>
      </c>
      <c r="W5" s="14">
        <v>15798674</v>
      </c>
      <c r="X5" s="15">
        <f>SUM(X6:X8)</f>
        <v>14197506</v>
      </c>
      <c r="Y5" s="14">
        <v>16756828</v>
      </c>
      <c r="Z5" s="15">
        <v>15062147</v>
      </c>
      <c r="AA5" s="14">
        <v>15744672</v>
      </c>
      <c r="AB5" s="15">
        <v>17367267</v>
      </c>
      <c r="AC5" s="88"/>
    </row>
    <row r="6" spans="1:29" s="6" customFormat="1" ht="9.6">
      <c r="A6" s="9" t="s">
        <v>185</v>
      </c>
      <c r="B6" s="13" t="s">
        <v>61</v>
      </c>
      <c r="C6" s="16" t="s">
        <v>123</v>
      </c>
      <c r="D6" s="20" t="s">
        <v>123</v>
      </c>
      <c r="E6" s="16" t="s">
        <v>123</v>
      </c>
      <c r="F6" s="20" t="s">
        <v>123</v>
      </c>
      <c r="G6" s="16" t="s">
        <v>123</v>
      </c>
      <c r="H6" s="20" t="s">
        <v>123</v>
      </c>
      <c r="I6" s="16" t="s">
        <v>123</v>
      </c>
      <c r="J6" s="20" t="s">
        <v>123</v>
      </c>
      <c r="K6" s="16" t="s">
        <v>123</v>
      </c>
      <c r="L6" s="20" t="s">
        <v>123</v>
      </c>
      <c r="M6" s="16" t="s">
        <v>123</v>
      </c>
      <c r="N6" s="20" t="s">
        <v>123</v>
      </c>
      <c r="O6" s="16" t="s">
        <v>123</v>
      </c>
      <c r="P6" s="15">
        <v>8860222</v>
      </c>
      <c r="Q6" s="14">
        <v>8124256</v>
      </c>
      <c r="R6" s="15">
        <v>6743698</v>
      </c>
      <c r="S6" s="14">
        <v>7280080</v>
      </c>
      <c r="T6" s="15">
        <v>7727692</v>
      </c>
      <c r="U6" s="14">
        <v>8059939</v>
      </c>
      <c r="V6" s="15">
        <v>6950111</v>
      </c>
      <c r="W6" s="14">
        <v>10438695</v>
      </c>
      <c r="X6" s="15">
        <v>9123148</v>
      </c>
      <c r="Y6" s="14">
        <v>9100632</v>
      </c>
      <c r="Z6" s="15">
        <v>5813075</v>
      </c>
      <c r="AA6" s="14">
        <v>6983904</v>
      </c>
      <c r="AB6" s="15">
        <v>8957455</v>
      </c>
      <c r="AC6" s="88"/>
    </row>
    <row r="7" spans="1:29" s="6" customFormat="1" ht="9.6">
      <c r="A7" s="9" t="s">
        <v>186</v>
      </c>
      <c r="B7" s="13" t="s">
        <v>62</v>
      </c>
      <c r="C7" s="16" t="s">
        <v>123</v>
      </c>
      <c r="D7" s="20" t="s">
        <v>123</v>
      </c>
      <c r="E7" s="16" t="s">
        <v>123</v>
      </c>
      <c r="F7" s="20" t="s">
        <v>123</v>
      </c>
      <c r="G7" s="16" t="s">
        <v>123</v>
      </c>
      <c r="H7" s="20" t="s">
        <v>123</v>
      </c>
      <c r="I7" s="16" t="s">
        <v>123</v>
      </c>
      <c r="J7" s="20" t="s">
        <v>123</v>
      </c>
      <c r="K7" s="16" t="s">
        <v>123</v>
      </c>
      <c r="L7" s="20" t="s">
        <v>123</v>
      </c>
      <c r="M7" s="16" t="s">
        <v>123</v>
      </c>
      <c r="N7" s="20" t="s">
        <v>123</v>
      </c>
      <c r="O7" s="16" t="s">
        <v>123</v>
      </c>
      <c r="P7" s="15">
        <v>658316</v>
      </c>
      <c r="Q7" s="14">
        <v>702996</v>
      </c>
      <c r="R7" s="15">
        <v>655410</v>
      </c>
      <c r="S7" s="14">
        <v>515138</v>
      </c>
      <c r="T7" s="15">
        <v>614547</v>
      </c>
      <c r="U7" s="14">
        <v>559550</v>
      </c>
      <c r="V7" s="15">
        <v>681790</v>
      </c>
      <c r="W7" s="14">
        <v>543925</v>
      </c>
      <c r="X7" s="15">
        <v>631166</v>
      </c>
      <c r="Y7" s="14">
        <v>517728</v>
      </c>
      <c r="Z7" s="15">
        <v>729604</v>
      </c>
      <c r="AA7" s="14">
        <v>594926</v>
      </c>
      <c r="AB7" s="15">
        <v>474097</v>
      </c>
      <c r="AC7" s="88"/>
    </row>
    <row r="8" spans="1:29" s="6" customFormat="1" ht="9.6">
      <c r="A8" s="9" t="s">
        <v>187</v>
      </c>
      <c r="B8" s="13" t="s">
        <v>63</v>
      </c>
      <c r="C8" s="16" t="s">
        <v>123</v>
      </c>
      <c r="D8" s="20" t="s">
        <v>123</v>
      </c>
      <c r="E8" s="16" t="s">
        <v>123</v>
      </c>
      <c r="F8" s="20" t="s">
        <v>123</v>
      </c>
      <c r="G8" s="16" t="s">
        <v>123</v>
      </c>
      <c r="H8" s="20" t="s">
        <v>123</v>
      </c>
      <c r="I8" s="16" t="s">
        <v>123</v>
      </c>
      <c r="J8" s="20" t="s">
        <v>123</v>
      </c>
      <c r="K8" s="16" t="s">
        <v>123</v>
      </c>
      <c r="L8" s="20" t="s">
        <v>123</v>
      </c>
      <c r="M8" s="16" t="s">
        <v>123</v>
      </c>
      <c r="N8" s="20" t="s">
        <v>123</v>
      </c>
      <c r="O8" s="16" t="s">
        <v>123</v>
      </c>
      <c r="P8" s="15">
        <v>3891627</v>
      </c>
      <c r="Q8" s="14">
        <v>4053690</v>
      </c>
      <c r="R8" s="15">
        <v>4722576</v>
      </c>
      <c r="S8" s="14">
        <v>5932352</v>
      </c>
      <c r="T8" s="15">
        <v>5688626</v>
      </c>
      <c r="U8" s="14">
        <v>5490873</v>
      </c>
      <c r="V8" s="15">
        <v>5075587</v>
      </c>
      <c r="W8" s="14">
        <v>4816054</v>
      </c>
      <c r="X8" s="15">
        <v>4443192</v>
      </c>
      <c r="Y8" s="14">
        <v>7138468</v>
      </c>
      <c r="Z8" s="15">
        <v>8519468</v>
      </c>
      <c r="AA8" s="14">
        <v>8165842</v>
      </c>
      <c r="AB8" s="15">
        <v>7935715</v>
      </c>
      <c r="AC8" s="88"/>
    </row>
    <row r="9" spans="1:29" s="6" customFormat="1" ht="9.6">
      <c r="A9" s="6" t="s">
        <v>223</v>
      </c>
      <c r="B9" s="13" t="s">
        <v>78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4">
        <v>9374646</v>
      </c>
      <c r="P9" s="20" t="s">
        <v>123</v>
      </c>
      <c r="Q9" s="16" t="s">
        <v>123</v>
      </c>
      <c r="R9" s="20" t="s">
        <v>123</v>
      </c>
      <c r="S9" s="16" t="s">
        <v>123</v>
      </c>
      <c r="T9" s="20" t="s">
        <v>123</v>
      </c>
      <c r="U9" s="16" t="s">
        <v>123</v>
      </c>
      <c r="V9" s="20" t="s">
        <v>123</v>
      </c>
      <c r="W9" s="16" t="s">
        <v>123</v>
      </c>
      <c r="X9" s="20" t="s">
        <v>123</v>
      </c>
      <c r="Y9" s="16" t="s">
        <v>123</v>
      </c>
      <c r="Z9" s="20" t="s">
        <v>123</v>
      </c>
      <c r="AA9" s="16" t="s">
        <v>123</v>
      </c>
      <c r="AB9" s="20" t="s">
        <v>123</v>
      </c>
      <c r="AC9" s="88"/>
    </row>
    <row r="10" spans="1:29" s="6" customFormat="1" ht="9.6">
      <c r="A10" s="6" t="s">
        <v>224</v>
      </c>
      <c r="B10" s="13" t="s">
        <v>79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4">
        <v>1954</v>
      </c>
      <c r="P10" s="20" t="s">
        <v>123</v>
      </c>
      <c r="Q10" s="16" t="s">
        <v>123</v>
      </c>
      <c r="R10" s="20" t="s">
        <v>123</v>
      </c>
      <c r="S10" s="16" t="s">
        <v>123</v>
      </c>
      <c r="T10" s="20" t="s">
        <v>123</v>
      </c>
      <c r="U10" s="16" t="s">
        <v>123</v>
      </c>
      <c r="V10" s="20" t="s">
        <v>123</v>
      </c>
      <c r="W10" s="16" t="s">
        <v>123</v>
      </c>
      <c r="X10" s="20" t="s">
        <v>123</v>
      </c>
      <c r="Y10" s="16" t="s">
        <v>123</v>
      </c>
      <c r="Z10" s="20" t="s">
        <v>123</v>
      </c>
      <c r="AA10" s="16" t="s">
        <v>123</v>
      </c>
      <c r="AB10" s="20" t="s">
        <v>123</v>
      </c>
      <c r="AC10" s="88"/>
    </row>
    <row r="11" spans="1:29" s="6" customFormat="1" ht="9.6">
      <c r="A11" s="6" t="s">
        <v>225</v>
      </c>
      <c r="B11" s="13" t="s">
        <v>80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4">
        <v>419551</v>
      </c>
      <c r="P11" s="20" t="s">
        <v>123</v>
      </c>
      <c r="Q11" s="16" t="s">
        <v>123</v>
      </c>
      <c r="R11" s="20" t="s">
        <v>123</v>
      </c>
      <c r="S11" s="16" t="s">
        <v>123</v>
      </c>
      <c r="T11" s="20" t="s">
        <v>123</v>
      </c>
      <c r="U11" s="16" t="s">
        <v>123</v>
      </c>
      <c r="V11" s="20" t="s">
        <v>123</v>
      </c>
      <c r="W11" s="16" t="s">
        <v>123</v>
      </c>
      <c r="X11" s="20" t="s">
        <v>123</v>
      </c>
      <c r="Y11" s="16" t="s">
        <v>123</v>
      </c>
      <c r="Z11" s="20" t="s">
        <v>123</v>
      </c>
      <c r="AA11" s="16" t="s">
        <v>123</v>
      </c>
      <c r="AB11" s="20" t="s">
        <v>123</v>
      </c>
      <c r="AC11" s="88"/>
    </row>
    <row r="12" spans="1:29" s="6" customFormat="1" ht="9.6">
      <c r="A12" s="11" t="s">
        <v>189</v>
      </c>
      <c r="B12" s="13" t="s">
        <v>38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4">
        <v>71684</v>
      </c>
      <c r="P12" s="15">
        <v>56660</v>
      </c>
      <c r="Q12" s="14">
        <v>72432</v>
      </c>
      <c r="R12" s="15">
        <v>51940</v>
      </c>
      <c r="S12" s="14">
        <v>112400</v>
      </c>
      <c r="T12" s="15">
        <v>106674</v>
      </c>
      <c r="U12" s="14">
        <v>132587</v>
      </c>
      <c r="V12" s="15">
        <v>135182</v>
      </c>
      <c r="W12" s="14">
        <v>134832</v>
      </c>
      <c r="X12" s="15">
        <v>292922</v>
      </c>
      <c r="Y12" s="14">
        <v>379652</v>
      </c>
      <c r="Z12" s="15">
        <v>367017</v>
      </c>
      <c r="AA12" s="14">
        <v>334977</v>
      </c>
      <c r="AB12" s="15">
        <v>217660</v>
      </c>
      <c r="AC12" s="88"/>
    </row>
    <row r="13" spans="1:29" s="6" customFormat="1" ht="9.6">
      <c r="A13" s="9" t="s">
        <v>190</v>
      </c>
      <c r="B13" s="13" t="s">
        <v>40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4">
        <v>46247188</v>
      </c>
      <c r="P13" s="15">
        <v>51326001</v>
      </c>
      <c r="Q13" s="14">
        <v>52433746</v>
      </c>
      <c r="R13" s="15">
        <v>53260652</v>
      </c>
      <c r="S13" s="14">
        <v>54224846</v>
      </c>
      <c r="T13" s="15">
        <v>55393764</v>
      </c>
      <c r="U13" s="14">
        <v>56664314</v>
      </c>
      <c r="V13" s="15">
        <v>56684484</v>
      </c>
      <c r="W13" s="14">
        <v>55844522</v>
      </c>
      <c r="X13" s="15">
        <v>56518126</v>
      </c>
      <c r="Y13" s="14">
        <v>55703480</v>
      </c>
      <c r="Z13" s="15">
        <v>55995884</v>
      </c>
      <c r="AA13" s="14">
        <v>56215422</v>
      </c>
      <c r="AB13" s="15">
        <v>56272609</v>
      </c>
      <c r="AC13" s="88"/>
    </row>
    <row r="14" spans="1:29" s="6" customFormat="1" ht="9.6">
      <c r="A14" s="12" t="s">
        <v>191</v>
      </c>
      <c r="B14" s="13" t="s">
        <v>41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4">
        <v>366984</v>
      </c>
      <c r="P14" s="15">
        <v>560693</v>
      </c>
      <c r="Q14" s="14">
        <v>335661</v>
      </c>
      <c r="R14" s="15">
        <v>341511</v>
      </c>
      <c r="S14" s="14">
        <v>333198</v>
      </c>
      <c r="T14" s="15">
        <v>344921</v>
      </c>
      <c r="U14" s="14">
        <v>346178</v>
      </c>
      <c r="V14" s="15">
        <v>357652</v>
      </c>
      <c r="W14" s="14">
        <v>335489</v>
      </c>
      <c r="X14" s="15">
        <v>338412</v>
      </c>
      <c r="Y14" s="14">
        <v>383940</v>
      </c>
      <c r="Z14" s="15">
        <v>1270554</v>
      </c>
      <c r="AA14" s="14">
        <v>446455</v>
      </c>
      <c r="AB14" s="15">
        <v>558864</v>
      </c>
      <c r="AC14" s="88"/>
    </row>
    <row r="15" spans="1:29" s="6" customFormat="1" ht="9.6">
      <c r="A15" s="9" t="s">
        <v>192</v>
      </c>
      <c r="B15" s="13" t="s">
        <v>42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4">
        <v>485796</v>
      </c>
      <c r="P15" s="15">
        <v>451815</v>
      </c>
      <c r="Q15" s="14">
        <v>441154</v>
      </c>
      <c r="R15" s="15">
        <v>452435</v>
      </c>
      <c r="S15" s="14">
        <v>460659</v>
      </c>
      <c r="T15" s="15">
        <v>807830</v>
      </c>
      <c r="U15" s="14">
        <v>814843</v>
      </c>
      <c r="V15" s="15">
        <v>787556</v>
      </c>
      <c r="W15" s="14">
        <v>763585</v>
      </c>
      <c r="X15" s="15">
        <v>741526</v>
      </c>
      <c r="Y15" s="14">
        <v>713310</v>
      </c>
      <c r="Z15" s="15">
        <v>700119</v>
      </c>
      <c r="AA15" s="14">
        <v>702381</v>
      </c>
      <c r="AB15" s="15">
        <v>693720</v>
      </c>
      <c r="AC15" s="88"/>
    </row>
    <row r="16" spans="1:29" s="6" customFormat="1" ht="9.6">
      <c r="A16" s="9" t="s">
        <v>193</v>
      </c>
      <c r="B16" s="13" t="s">
        <v>43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4">
        <v>516444</v>
      </c>
      <c r="P16" s="15">
        <v>543483</v>
      </c>
      <c r="Q16" s="14">
        <v>550925</v>
      </c>
      <c r="R16" s="15">
        <v>545896</v>
      </c>
      <c r="S16" s="14">
        <v>572320</v>
      </c>
      <c r="T16" s="15">
        <v>572372</v>
      </c>
      <c r="U16" s="14">
        <v>575071</v>
      </c>
      <c r="V16" s="15">
        <v>577604</v>
      </c>
      <c r="W16" s="14">
        <v>580352</v>
      </c>
      <c r="X16" s="15">
        <v>577898</v>
      </c>
      <c r="Y16" s="14">
        <v>507747</v>
      </c>
      <c r="Z16" s="15">
        <v>461424</v>
      </c>
      <c r="AA16" s="14">
        <v>425109</v>
      </c>
      <c r="AB16" s="15">
        <v>420568</v>
      </c>
      <c r="AC16" s="88"/>
    </row>
    <row r="17" spans="1:29" s="6" customFormat="1" ht="9.6">
      <c r="A17" s="9" t="s">
        <v>194</v>
      </c>
      <c r="B17" s="13" t="s">
        <v>60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4">
        <v>0</v>
      </c>
      <c r="P17" s="15">
        <v>0</v>
      </c>
      <c r="Q17" s="14">
        <v>0</v>
      </c>
      <c r="R17" s="15">
        <v>0</v>
      </c>
      <c r="S17" s="14">
        <v>4000</v>
      </c>
      <c r="T17" s="15">
        <v>4000</v>
      </c>
      <c r="U17" s="14">
        <v>4000</v>
      </c>
      <c r="V17" s="15">
        <v>5332</v>
      </c>
      <c r="W17" s="14">
        <v>9822</v>
      </c>
      <c r="X17" s="15">
        <v>5333</v>
      </c>
      <c r="Y17" s="14">
        <v>5333</v>
      </c>
      <c r="Z17" s="15">
        <v>5333</v>
      </c>
      <c r="AA17" s="14">
        <v>5333</v>
      </c>
      <c r="AB17" s="15">
        <v>0</v>
      </c>
      <c r="AC17" s="88"/>
    </row>
    <row r="18" spans="1:29" s="6" customFormat="1" ht="9.6">
      <c r="A18" s="9" t="s">
        <v>195</v>
      </c>
      <c r="B18" s="13" t="s">
        <v>44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4">
        <v>679</v>
      </c>
      <c r="P18" s="15">
        <v>325</v>
      </c>
      <c r="Q18" s="14">
        <v>271</v>
      </c>
      <c r="R18" s="15">
        <v>181</v>
      </c>
      <c r="S18" s="14">
        <v>146</v>
      </c>
      <c r="T18" s="15">
        <v>71</v>
      </c>
      <c r="U18" s="14">
        <v>102</v>
      </c>
      <c r="V18" s="15">
        <v>103</v>
      </c>
      <c r="W18" s="14">
        <v>103</v>
      </c>
      <c r="X18" s="15">
        <v>110</v>
      </c>
      <c r="Y18" s="14">
        <v>139810</v>
      </c>
      <c r="Z18" s="15">
        <v>140157</v>
      </c>
      <c r="AA18" s="14">
        <v>3</v>
      </c>
      <c r="AB18" s="15">
        <v>28</v>
      </c>
      <c r="AC18" s="88"/>
    </row>
    <row r="19" spans="1:29" s="6" customFormat="1" ht="9.6">
      <c r="A19" s="6" t="s">
        <v>228</v>
      </c>
      <c r="B19" s="13" t="s">
        <v>55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4">
        <v>0</v>
      </c>
      <c r="P19" s="15">
        <v>0</v>
      </c>
      <c r="Q19" s="14">
        <v>0</v>
      </c>
      <c r="R19" s="15">
        <v>0</v>
      </c>
      <c r="S19" s="14">
        <v>0</v>
      </c>
      <c r="T19" s="15">
        <v>0</v>
      </c>
      <c r="U19" s="14">
        <v>0</v>
      </c>
      <c r="V19" s="15">
        <v>0</v>
      </c>
      <c r="W19" s="14">
        <v>0</v>
      </c>
      <c r="X19" s="15">
        <v>0</v>
      </c>
      <c r="Y19" s="14">
        <v>0</v>
      </c>
      <c r="Z19" s="15">
        <v>0</v>
      </c>
      <c r="AA19" s="14">
        <v>0</v>
      </c>
      <c r="AB19" s="15">
        <v>0</v>
      </c>
      <c r="AC19" s="88"/>
    </row>
    <row r="20" spans="1:29" s="6" customFormat="1" ht="9.6">
      <c r="A20" s="6" t="s">
        <v>196</v>
      </c>
      <c r="B20" s="13" t="s">
        <v>45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4">
        <v>548442</v>
      </c>
      <c r="P20" s="15">
        <v>911762</v>
      </c>
      <c r="Q20" s="14">
        <v>899622</v>
      </c>
      <c r="R20" s="15">
        <v>959163</v>
      </c>
      <c r="S20" s="14">
        <f>S21+S22</f>
        <v>1039645</v>
      </c>
      <c r="T20" s="15">
        <v>1059503</v>
      </c>
      <c r="U20" s="14">
        <v>1099648</v>
      </c>
      <c r="V20" s="15">
        <f>V21+V22</f>
        <v>1113812</v>
      </c>
      <c r="W20" s="14">
        <f>W21+W22</f>
        <v>1169853</v>
      </c>
      <c r="X20" s="15">
        <f>X21+X22</f>
        <v>1139404</v>
      </c>
      <c r="Y20" s="14">
        <v>1223388</v>
      </c>
      <c r="Z20" s="15">
        <v>1222493</v>
      </c>
      <c r="AA20" s="14">
        <v>1218282</v>
      </c>
      <c r="AB20" s="15">
        <v>1232264</v>
      </c>
      <c r="AC20" s="88"/>
    </row>
    <row r="21" spans="1:29" s="6" customFormat="1" ht="9.6">
      <c r="A21" s="6" t="s">
        <v>197</v>
      </c>
      <c r="B21" s="13" t="s">
        <v>74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4">
        <v>0</v>
      </c>
      <c r="P21" s="15">
        <v>0</v>
      </c>
      <c r="Q21" s="14">
        <v>0</v>
      </c>
      <c r="R21" s="15">
        <v>0</v>
      </c>
      <c r="S21" s="14">
        <v>0</v>
      </c>
      <c r="T21" s="15">
        <v>18</v>
      </c>
      <c r="U21" s="14">
        <v>6976</v>
      </c>
      <c r="V21" s="15">
        <v>14978</v>
      </c>
      <c r="W21" s="14">
        <v>20468</v>
      </c>
      <c r="X21" s="15">
        <v>16196</v>
      </c>
      <c r="Y21" s="14">
        <v>28829</v>
      </c>
      <c r="Z21" s="15">
        <v>46916</v>
      </c>
      <c r="AA21" s="14">
        <v>59572</v>
      </c>
      <c r="AB21" s="15">
        <v>85562</v>
      </c>
      <c r="AC21" s="88"/>
    </row>
    <row r="22" spans="1:29" s="6" customFormat="1" ht="9.6">
      <c r="A22" s="6" t="s">
        <v>198</v>
      </c>
      <c r="B22" s="13" t="s">
        <v>75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4">
        <v>548442</v>
      </c>
      <c r="P22" s="15">
        <v>911762</v>
      </c>
      <c r="Q22" s="14">
        <v>899622</v>
      </c>
      <c r="R22" s="15">
        <v>959163</v>
      </c>
      <c r="S22" s="14">
        <v>1039645</v>
      </c>
      <c r="T22" s="15">
        <v>1059485</v>
      </c>
      <c r="U22" s="14">
        <v>1092672</v>
      </c>
      <c r="V22" s="15">
        <v>1098834</v>
      </c>
      <c r="W22" s="14">
        <v>1149385</v>
      </c>
      <c r="X22" s="15">
        <v>1123208</v>
      </c>
      <c r="Y22" s="14">
        <v>1194559</v>
      </c>
      <c r="Z22" s="15">
        <v>1175577</v>
      </c>
      <c r="AA22" s="14">
        <v>1158710</v>
      </c>
      <c r="AB22" s="15">
        <v>1146702</v>
      </c>
      <c r="AC22" s="88"/>
    </row>
    <row r="23" spans="1:29" s="6" customFormat="1" thickBot="1">
      <c r="A23" s="6" t="s">
        <v>199</v>
      </c>
      <c r="B23" s="13" t="s">
        <v>46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4">
        <v>685996</v>
      </c>
      <c r="P23" s="15">
        <v>527124</v>
      </c>
      <c r="Q23" s="14">
        <v>499527</v>
      </c>
      <c r="R23" s="15">
        <v>400296</v>
      </c>
      <c r="S23" s="14">
        <v>676481</v>
      </c>
      <c r="T23" s="15">
        <v>473344</v>
      </c>
      <c r="U23" s="14">
        <v>526468</v>
      </c>
      <c r="V23" s="15">
        <v>722715</v>
      </c>
      <c r="W23" s="14">
        <v>484893</v>
      </c>
      <c r="X23" s="15">
        <v>463966</v>
      </c>
      <c r="Y23" s="14">
        <v>439361</v>
      </c>
      <c r="Z23" s="15">
        <v>524750</v>
      </c>
      <c r="AA23" s="14">
        <v>581126</v>
      </c>
      <c r="AB23" s="15">
        <v>553619</v>
      </c>
      <c r="AC23" s="88"/>
    </row>
    <row r="24" spans="1:29" s="6" customFormat="1" thickBot="1">
      <c r="A24" s="6" t="s">
        <v>200</v>
      </c>
      <c r="B24" s="21" t="s">
        <v>64</v>
      </c>
      <c r="C24" s="22">
        <f t="shared" ref="C24:V24" si="0">C3+C4+C5+C13+C14+C15+C16+C17+C18+C19+C20+C23+C12</f>
        <v>34886136</v>
      </c>
      <c r="D24" s="22">
        <f t="shared" si="0"/>
        <v>36466760</v>
      </c>
      <c r="E24" s="22">
        <f t="shared" si="0"/>
        <v>37304259.859999999</v>
      </c>
      <c r="F24" s="22">
        <f t="shared" si="0"/>
        <v>40003010</v>
      </c>
      <c r="G24" s="22">
        <f t="shared" si="0"/>
        <v>42025695</v>
      </c>
      <c r="H24" s="22">
        <f t="shared" si="0"/>
        <v>47041752</v>
      </c>
      <c r="I24" s="22">
        <f t="shared" si="0"/>
        <v>46581539</v>
      </c>
      <c r="J24" s="22">
        <f t="shared" si="0"/>
        <v>61160491</v>
      </c>
      <c r="K24" s="22">
        <f t="shared" si="0"/>
        <v>60439837</v>
      </c>
      <c r="L24" s="22">
        <f t="shared" si="0"/>
        <v>61858805</v>
      </c>
      <c r="M24" s="22">
        <f t="shared" si="0"/>
        <v>65062093</v>
      </c>
      <c r="N24" s="22">
        <f t="shared" si="0"/>
        <v>69515982</v>
      </c>
      <c r="O24" s="22">
        <f t="shared" si="0"/>
        <v>61168671</v>
      </c>
      <c r="P24" s="22">
        <f t="shared" si="0"/>
        <v>70355779</v>
      </c>
      <c r="Q24" s="22">
        <f t="shared" si="0"/>
        <v>70337259</v>
      </c>
      <c r="R24" s="22">
        <f t="shared" si="0"/>
        <v>71167223</v>
      </c>
      <c r="S24" s="22">
        <f t="shared" si="0"/>
        <v>73402742</v>
      </c>
      <c r="T24" s="22">
        <f t="shared" si="0"/>
        <v>74638883</v>
      </c>
      <c r="U24" s="22">
        <f t="shared" si="0"/>
        <v>77058388</v>
      </c>
      <c r="V24" s="22">
        <f t="shared" si="0"/>
        <v>76983674</v>
      </c>
      <c r="W24" s="22">
        <v>76714137</v>
      </c>
      <c r="X24" s="22">
        <f>X3+X4+X5+X12+X13+X14+X15+X16+X17+X18+X19+X20+X23</f>
        <v>76512233</v>
      </c>
      <c r="Y24" s="22">
        <f>Y3+Y4+Y5+Y12+Y13+Y14+Y15+Y16+Y17+Y18+Y19+Y20+Y23</f>
        <v>77671909</v>
      </c>
      <c r="Z24" s="22">
        <v>77717339</v>
      </c>
      <c r="AA24" s="22">
        <f>AA3+AA4+AA5+AA12+AA13+AA14+AA15+AA16+AA17+AA18+AA19+AA20+AA23</f>
        <v>78642032</v>
      </c>
      <c r="AB24" s="22">
        <f>AB3+AB4+AB5+AB12+AB13+AB14+AB15+AB16+AB17+AB18+AB19+AB20+AB23</f>
        <v>79880618</v>
      </c>
      <c r="AC24" s="88"/>
    </row>
    <row r="25" spans="1:29" s="6" customFormat="1" thickBot="1"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29"/>
      <c r="AC25" s="88"/>
    </row>
    <row r="26" spans="1:29" s="6" customFormat="1" ht="24" customHeight="1" thickBot="1">
      <c r="A26" s="6" t="s">
        <v>201</v>
      </c>
      <c r="B26" s="5" t="s">
        <v>65</v>
      </c>
      <c r="C26" s="5" t="s">
        <v>14</v>
      </c>
      <c r="D26" s="5" t="s">
        <v>17</v>
      </c>
      <c r="E26" s="5" t="s">
        <v>12</v>
      </c>
      <c r="F26" s="5" t="s">
        <v>11</v>
      </c>
      <c r="G26" s="5" t="s">
        <v>15</v>
      </c>
      <c r="H26" s="5" t="s">
        <v>16</v>
      </c>
      <c r="I26" s="5" t="s">
        <v>18</v>
      </c>
      <c r="J26" s="5" t="s">
        <v>20</v>
      </c>
      <c r="K26" s="5" t="s">
        <v>21</v>
      </c>
      <c r="L26" s="5" t="s">
        <v>22</v>
      </c>
      <c r="M26" s="5" t="s">
        <v>24</v>
      </c>
      <c r="N26" s="5" t="s">
        <v>25</v>
      </c>
      <c r="O26" s="5">
        <v>43101</v>
      </c>
      <c r="P26" s="5" t="s">
        <v>30</v>
      </c>
      <c r="Q26" s="5" t="s">
        <v>31</v>
      </c>
      <c r="R26" s="5" t="s">
        <v>32</v>
      </c>
      <c r="S26" s="5" t="s">
        <v>34</v>
      </c>
      <c r="T26" s="5" t="s">
        <v>36</v>
      </c>
      <c r="U26" s="5" t="str">
        <f>U2</f>
        <v xml:space="preserve">2 kw. 2019 </v>
      </c>
      <c r="V26" s="5" t="str">
        <f>V2</f>
        <v>3 kw. 2019</v>
      </c>
      <c r="W26" s="5" t="str">
        <f>W2</f>
        <v>4 kw. 2019</v>
      </c>
      <c r="X26" s="5" t="str">
        <f>X2</f>
        <v>1 kw. 2020</v>
      </c>
      <c r="Y26" s="5" t="s">
        <v>364</v>
      </c>
      <c r="Z26" s="5" t="s">
        <v>370</v>
      </c>
      <c r="AA26" s="5" t="s">
        <v>374</v>
      </c>
      <c r="AB26" s="5" t="s">
        <v>392</v>
      </c>
      <c r="AC26" s="88"/>
    </row>
    <row r="27" spans="1:29" s="6" customFormat="1" ht="9.6">
      <c r="A27" s="6" t="s">
        <v>202</v>
      </c>
      <c r="B27" s="13" t="s">
        <v>47</v>
      </c>
      <c r="C27" s="23">
        <v>1853647</v>
      </c>
      <c r="D27" s="20">
        <v>1600556</v>
      </c>
      <c r="E27" s="23">
        <v>662791</v>
      </c>
      <c r="F27" s="20">
        <v>1051028</v>
      </c>
      <c r="G27" s="23">
        <v>404220</v>
      </c>
      <c r="H27" s="20">
        <v>1016777</v>
      </c>
      <c r="I27" s="23">
        <v>1163129</v>
      </c>
      <c r="J27" s="20">
        <v>428640</v>
      </c>
      <c r="K27" s="23">
        <v>536952</v>
      </c>
      <c r="L27" s="20">
        <v>866687</v>
      </c>
      <c r="M27" s="23">
        <v>714507</v>
      </c>
      <c r="N27" s="20">
        <v>891645</v>
      </c>
      <c r="O27" s="23">
        <v>428640</v>
      </c>
      <c r="P27" s="20">
        <v>1012534</v>
      </c>
      <c r="Q27" s="23">
        <v>698325</v>
      </c>
      <c r="R27" s="20">
        <v>645909</v>
      </c>
      <c r="S27" s="23">
        <v>593327</v>
      </c>
      <c r="T27" s="20">
        <v>1028504</v>
      </c>
      <c r="U27" s="23">
        <v>1101123</v>
      </c>
      <c r="V27" s="20">
        <v>984187</v>
      </c>
      <c r="W27" s="23">
        <v>822543</v>
      </c>
      <c r="X27" s="20">
        <v>939965</v>
      </c>
      <c r="Y27" s="23">
        <v>967438</v>
      </c>
      <c r="Z27" s="20">
        <v>1063235</v>
      </c>
      <c r="AA27" s="23">
        <v>912407</v>
      </c>
      <c r="AB27" s="20">
        <v>827283</v>
      </c>
      <c r="AC27" s="88"/>
    </row>
    <row r="28" spans="1:29" s="6" customFormat="1" ht="9.6">
      <c r="A28" s="6" t="s">
        <v>203</v>
      </c>
      <c r="B28" s="13" t="s">
        <v>48</v>
      </c>
      <c r="C28" s="23">
        <v>27799851</v>
      </c>
      <c r="D28" s="20">
        <v>29774617</v>
      </c>
      <c r="E28" s="23">
        <v>31430616</v>
      </c>
      <c r="F28" s="20">
        <v>33663542</v>
      </c>
      <c r="G28" s="23">
        <v>35802241</v>
      </c>
      <c r="H28" s="20">
        <v>37989929</v>
      </c>
      <c r="I28" s="23">
        <v>37432228</v>
      </c>
      <c r="J28" s="20">
        <v>51368701</v>
      </c>
      <c r="K28" s="23">
        <f>50516894+23658</f>
        <v>50540552</v>
      </c>
      <c r="L28" s="20">
        <f>51688524+32046</f>
        <v>51720570</v>
      </c>
      <c r="M28" s="23">
        <v>54770517</v>
      </c>
      <c r="N28" s="20">
        <v>57657019</v>
      </c>
      <c r="O28" s="23">
        <v>51384128</v>
      </c>
      <c r="P28" s="20">
        <v>59074569</v>
      </c>
      <c r="Q28" s="23">
        <v>59645174</v>
      </c>
      <c r="R28" s="20">
        <v>60098796</v>
      </c>
      <c r="S28" s="23">
        <v>62435585</v>
      </c>
      <c r="T28" s="20">
        <v>62326563</v>
      </c>
      <c r="U28" s="23">
        <v>64885845</v>
      </c>
      <c r="V28" s="20">
        <v>64739421</v>
      </c>
      <c r="W28" s="23">
        <v>64999259</v>
      </c>
      <c r="X28" s="20">
        <v>64596016</v>
      </c>
      <c r="Y28" s="23">
        <v>65865441</v>
      </c>
      <c r="Z28" s="20">
        <v>65868133</v>
      </c>
      <c r="AA28" s="23">
        <v>66875907</v>
      </c>
      <c r="AB28" s="20">
        <v>68621716</v>
      </c>
      <c r="AC28" s="88"/>
    </row>
    <row r="29" spans="1:29" s="6" customFormat="1" ht="9.6">
      <c r="A29" s="6" t="s">
        <v>227</v>
      </c>
      <c r="B29" s="13" t="s">
        <v>58</v>
      </c>
      <c r="C29" s="23">
        <v>390026</v>
      </c>
      <c r="D29" s="20">
        <v>324028</v>
      </c>
      <c r="E29" s="23">
        <v>293282</v>
      </c>
      <c r="F29" s="20">
        <v>310180</v>
      </c>
      <c r="G29" s="23">
        <v>338986</v>
      </c>
      <c r="H29" s="20">
        <v>298896</v>
      </c>
      <c r="I29" s="23">
        <v>232566</v>
      </c>
      <c r="J29" s="20">
        <v>298314</v>
      </c>
      <c r="K29" s="23">
        <v>294142</v>
      </c>
      <c r="L29" s="20">
        <v>366491</v>
      </c>
      <c r="M29" s="23">
        <v>403995</v>
      </c>
      <c r="N29" s="20">
        <v>435878</v>
      </c>
      <c r="O29" s="23">
        <v>298314</v>
      </c>
      <c r="P29" s="20">
        <v>643457</v>
      </c>
      <c r="Q29" s="23">
        <v>445932</v>
      </c>
      <c r="R29" s="20">
        <v>514831</v>
      </c>
      <c r="S29" s="23">
        <v>416407</v>
      </c>
      <c r="T29" s="20">
        <v>470948</v>
      </c>
      <c r="U29" s="23">
        <v>482943</v>
      </c>
      <c r="V29" s="20">
        <v>520149</v>
      </c>
      <c r="W29" s="23">
        <v>436856</v>
      </c>
      <c r="X29" s="20">
        <v>431762</v>
      </c>
      <c r="Y29" s="23">
        <v>516362</v>
      </c>
      <c r="Z29" s="20">
        <v>493324</v>
      </c>
      <c r="AA29" s="23">
        <v>501880</v>
      </c>
      <c r="AB29" s="20">
        <v>256596</v>
      </c>
      <c r="AC29" s="88"/>
    </row>
    <row r="30" spans="1:29" s="6" customFormat="1" ht="9.6">
      <c r="A30" s="6" t="s">
        <v>226</v>
      </c>
      <c r="B30" s="13" t="s">
        <v>80</v>
      </c>
      <c r="C30" s="23">
        <v>390026</v>
      </c>
      <c r="D30" s="20">
        <v>324028</v>
      </c>
      <c r="E30" s="23">
        <v>293282</v>
      </c>
      <c r="F30" s="20">
        <v>310180</v>
      </c>
      <c r="G30" s="23">
        <v>338986</v>
      </c>
      <c r="H30" s="20">
        <v>298896</v>
      </c>
      <c r="I30" s="23">
        <v>232566</v>
      </c>
      <c r="J30" s="20">
        <v>298314</v>
      </c>
      <c r="K30" s="23">
        <v>294142</v>
      </c>
      <c r="L30" s="20">
        <v>366491</v>
      </c>
      <c r="M30" s="23">
        <v>403995</v>
      </c>
      <c r="N30" s="20">
        <v>435878</v>
      </c>
      <c r="O30" s="23">
        <v>298314</v>
      </c>
      <c r="P30" s="20" t="s">
        <v>123</v>
      </c>
      <c r="Q30" s="23" t="s">
        <v>123</v>
      </c>
      <c r="R30" s="20" t="s">
        <v>123</v>
      </c>
      <c r="S30" s="23" t="s">
        <v>123</v>
      </c>
      <c r="T30" s="20" t="s">
        <v>123</v>
      </c>
      <c r="U30" s="23" t="s">
        <v>123</v>
      </c>
      <c r="V30" s="20" t="s">
        <v>123</v>
      </c>
      <c r="W30" s="23" t="s">
        <v>123</v>
      </c>
      <c r="X30" s="20" t="s">
        <v>123</v>
      </c>
      <c r="Y30" s="23" t="s">
        <v>123</v>
      </c>
      <c r="Z30" s="20" t="s">
        <v>123</v>
      </c>
      <c r="AA30" s="23" t="s">
        <v>123</v>
      </c>
      <c r="AB30" s="20" t="s">
        <v>123</v>
      </c>
      <c r="AC30" s="88"/>
    </row>
    <row r="31" spans="1:29" s="6" customFormat="1" ht="9.6">
      <c r="A31" s="6" t="s">
        <v>204</v>
      </c>
      <c r="B31" s="13" t="s">
        <v>62</v>
      </c>
      <c r="C31" s="23" t="s">
        <v>123</v>
      </c>
      <c r="D31" s="20" t="s">
        <v>123</v>
      </c>
      <c r="E31" s="23" t="s">
        <v>123</v>
      </c>
      <c r="F31" s="20" t="s">
        <v>123</v>
      </c>
      <c r="G31" s="23" t="s">
        <v>123</v>
      </c>
      <c r="H31" s="20" t="s">
        <v>123</v>
      </c>
      <c r="I31" s="23" t="s">
        <v>123</v>
      </c>
      <c r="J31" s="20" t="s">
        <v>123</v>
      </c>
      <c r="K31" s="23" t="s">
        <v>123</v>
      </c>
      <c r="L31" s="20" t="s">
        <v>123</v>
      </c>
      <c r="M31" s="23" t="s">
        <v>123</v>
      </c>
      <c r="N31" s="20" t="s">
        <v>123</v>
      </c>
      <c r="O31" s="23" t="s">
        <v>123</v>
      </c>
      <c r="P31" s="20">
        <v>643457</v>
      </c>
      <c r="Q31" s="23">
        <v>445932</v>
      </c>
      <c r="R31" s="20">
        <v>514831</v>
      </c>
      <c r="S31" s="23">
        <v>416407</v>
      </c>
      <c r="T31" s="20">
        <f>T29</f>
        <v>470948</v>
      </c>
      <c r="U31" s="23">
        <f>U29</f>
        <v>482943</v>
      </c>
      <c r="V31" s="20">
        <v>520149</v>
      </c>
      <c r="W31" s="23">
        <v>436856</v>
      </c>
      <c r="X31" s="20">
        <v>431762</v>
      </c>
      <c r="Y31" s="23">
        <v>516362</v>
      </c>
      <c r="Z31" s="20">
        <v>493324</v>
      </c>
      <c r="AA31" s="23">
        <v>501880</v>
      </c>
      <c r="AB31" s="20">
        <v>256596</v>
      </c>
      <c r="AC31" s="88"/>
    </row>
    <row r="32" spans="1:29" s="6" customFormat="1" ht="9.6">
      <c r="A32" s="6" t="s">
        <v>205</v>
      </c>
      <c r="B32" s="13" t="s">
        <v>38</v>
      </c>
      <c r="C32" s="23">
        <v>0</v>
      </c>
      <c r="D32" s="20">
        <v>10887</v>
      </c>
      <c r="E32" s="23">
        <v>418</v>
      </c>
      <c r="F32" s="20">
        <v>0</v>
      </c>
      <c r="G32" s="23">
        <v>507</v>
      </c>
      <c r="H32" s="20">
        <v>0</v>
      </c>
      <c r="I32" s="23">
        <v>0</v>
      </c>
      <c r="J32" s="20">
        <v>6119</v>
      </c>
      <c r="K32" s="23">
        <v>12252</v>
      </c>
      <c r="L32" s="20">
        <v>8868</v>
      </c>
      <c r="M32" s="23">
        <v>4713</v>
      </c>
      <c r="N32" s="20">
        <v>5419</v>
      </c>
      <c r="O32" s="23">
        <v>6119</v>
      </c>
      <c r="P32" s="20">
        <v>10068</v>
      </c>
      <c r="Q32" s="23">
        <v>8756</v>
      </c>
      <c r="R32" s="20">
        <v>4064</v>
      </c>
      <c r="S32" s="23">
        <v>9381</v>
      </c>
      <c r="T32" s="20">
        <v>14714</v>
      </c>
      <c r="U32" s="23">
        <v>16134</v>
      </c>
      <c r="V32" s="20">
        <v>46356</v>
      </c>
      <c r="W32" s="23">
        <v>40676</v>
      </c>
      <c r="X32" s="20">
        <v>77545</v>
      </c>
      <c r="Y32" s="23">
        <v>89690</v>
      </c>
      <c r="Z32" s="20">
        <v>88817</v>
      </c>
      <c r="AA32" s="23">
        <v>86162</v>
      </c>
      <c r="AB32" s="20">
        <v>137665</v>
      </c>
      <c r="AC32" s="88"/>
    </row>
    <row r="33" spans="1:29" s="6" customFormat="1" ht="9.6">
      <c r="A33" s="6" t="s">
        <v>206</v>
      </c>
      <c r="B33" s="13" t="s">
        <v>49</v>
      </c>
      <c r="C33" s="23">
        <v>9525</v>
      </c>
      <c r="D33" s="20">
        <v>14014</v>
      </c>
      <c r="E33" s="23">
        <v>9587</v>
      </c>
      <c r="F33" s="20">
        <v>10813</v>
      </c>
      <c r="G33" s="23">
        <v>15010</v>
      </c>
      <c r="H33" s="20">
        <v>11551</v>
      </c>
      <c r="I33" s="23">
        <v>12070</v>
      </c>
      <c r="J33" s="20">
        <v>286815</v>
      </c>
      <c r="K33" s="23">
        <v>268299</v>
      </c>
      <c r="L33" s="20">
        <v>186082</v>
      </c>
      <c r="M33" s="23">
        <v>122410</v>
      </c>
      <c r="N33" s="20">
        <v>90457</v>
      </c>
      <c r="O33" s="23">
        <v>286815</v>
      </c>
      <c r="P33" s="20">
        <v>183066</v>
      </c>
      <c r="Q33" s="23">
        <v>190562</v>
      </c>
      <c r="R33" s="20">
        <v>201236</v>
      </c>
      <c r="S33" s="23">
        <v>126199</v>
      </c>
      <c r="T33" s="20">
        <v>122703</v>
      </c>
      <c r="U33" s="23">
        <v>117120</v>
      </c>
      <c r="V33" s="20">
        <v>119716</v>
      </c>
      <c r="W33" s="23">
        <v>358869</v>
      </c>
      <c r="X33" s="20">
        <v>257105</v>
      </c>
      <c r="Y33" s="23">
        <v>402739</v>
      </c>
      <c r="Z33" s="20">
        <v>356723</v>
      </c>
      <c r="AA33" s="23">
        <v>336560</v>
      </c>
      <c r="AB33" s="20">
        <v>310779</v>
      </c>
      <c r="AC33" s="88"/>
    </row>
    <row r="34" spans="1:29" s="6" customFormat="1" ht="9.6">
      <c r="A34" s="6" t="s">
        <v>207</v>
      </c>
      <c r="B34" s="13" t="s">
        <v>50</v>
      </c>
      <c r="C34" s="23">
        <v>786188</v>
      </c>
      <c r="D34" s="20">
        <v>670677</v>
      </c>
      <c r="E34" s="23">
        <v>716700</v>
      </c>
      <c r="F34" s="20">
        <v>535274</v>
      </c>
      <c r="G34" s="23">
        <v>894589</v>
      </c>
      <c r="H34" s="20">
        <v>738916</v>
      </c>
      <c r="I34" s="23">
        <v>674485</v>
      </c>
      <c r="J34" s="20">
        <v>1433301</v>
      </c>
      <c r="K34" s="23">
        <f>1271461+12345</f>
        <v>1283806</v>
      </c>
      <c r="L34" s="20">
        <f>1139811+15757</f>
        <v>1155568</v>
      </c>
      <c r="M34" s="23">
        <v>1251720</v>
      </c>
      <c r="N34" s="20">
        <v>1693915</v>
      </c>
      <c r="O34" s="23">
        <v>1433301</v>
      </c>
      <c r="P34" s="20">
        <v>1376938</v>
      </c>
      <c r="Q34" s="23">
        <v>1149084</v>
      </c>
      <c r="R34" s="20">
        <v>1300059</v>
      </c>
      <c r="S34" s="23">
        <v>1167111</v>
      </c>
      <c r="T34" s="20">
        <v>2095875</v>
      </c>
      <c r="U34" s="23">
        <v>1873102</v>
      </c>
      <c r="V34" s="20">
        <v>1824400</v>
      </c>
      <c r="W34" s="23">
        <v>1429676</v>
      </c>
      <c r="X34" s="20">
        <v>1572872</v>
      </c>
      <c r="Y34" s="23">
        <v>1503086</v>
      </c>
      <c r="Z34" s="20">
        <v>1408317</v>
      </c>
      <c r="AA34" s="23">
        <v>1569867</v>
      </c>
      <c r="AB34" s="20">
        <v>1572238</v>
      </c>
      <c r="AC34" s="88"/>
    </row>
    <row r="35" spans="1:29" s="6" customFormat="1" ht="9.6">
      <c r="B35" s="13" t="s">
        <v>365</v>
      </c>
      <c r="C35" s="23"/>
      <c r="D35" s="20"/>
      <c r="E35" s="23"/>
      <c r="F35" s="20"/>
      <c r="G35" s="23"/>
      <c r="H35" s="20"/>
      <c r="I35" s="23"/>
      <c r="J35" s="20"/>
      <c r="K35" s="23"/>
      <c r="L35" s="20"/>
      <c r="M35" s="23"/>
      <c r="N35" s="20"/>
      <c r="O35" s="23"/>
      <c r="P35" s="20"/>
      <c r="Q35" s="23"/>
      <c r="R35" s="20"/>
      <c r="S35" s="23"/>
      <c r="T35" s="20"/>
      <c r="U35" s="23"/>
      <c r="V35" s="20"/>
      <c r="W35" s="23"/>
      <c r="X35" s="20">
        <v>0</v>
      </c>
      <c r="Y35" s="23">
        <v>165120</v>
      </c>
      <c r="Z35" s="20">
        <v>172332</v>
      </c>
      <c r="AA35" s="23">
        <v>0</v>
      </c>
      <c r="AB35" s="20">
        <v>0</v>
      </c>
      <c r="AC35" s="88"/>
    </row>
    <row r="36" spans="1:29" s="6" customFormat="1" ht="9.6">
      <c r="A36" s="6" t="s">
        <v>208</v>
      </c>
      <c r="B36" s="13" t="s">
        <v>51</v>
      </c>
      <c r="C36" s="23">
        <v>18633</v>
      </c>
      <c r="D36" s="20">
        <v>15666</v>
      </c>
      <c r="E36" s="23">
        <v>12806</v>
      </c>
      <c r="F36" s="20">
        <v>21776</v>
      </c>
      <c r="G36" s="23">
        <v>30811</v>
      </c>
      <c r="H36" s="20">
        <v>18876</v>
      </c>
      <c r="I36" s="23">
        <v>25793</v>
      </c>
      <c r="J36" s="20">
        <v>13945</v>
      </c>
      <c r="K36" s="23">
        <f>K37+K38</f>
        <v>66971</v>
      </c>
      <c r="L36" s="20">
        <f>L37+L38</f>
        <v>51815</v>
      </c>
      <c r="M36" s="23">
        <v>75803</v>
      </c>
      <c r="N36" s="20">
        <v>135690</v>
      </c>
      <c r="O36" s="23">
        <v>33517</v>
      </c>
      <c r="P36" s="20">
        <v>236190</v>
      </c>
      <c r="Q36" s="23">
        <v>147337</v>
      </c>
      <c r="R36" s="20">
        <f>R37+R38</f>
        <v>181506</v>
      </c>
      <c r="S36" s="23">
        <f t="shared" ref="S36:U36" si="1">S37+S38</f>
        <v>267861</v>
      </c>
      <c r="T36" s="20">
        <f t="shared" si="1"/>
        <v>88434</v>
      </c>
      <c r="U36" s="23">
        <f t="shared" si="1"/>
        <v>7733</v>
      </c>
      <c r="V36" s="20">
        <f>V37+V38</f>
        <v>41679</v>
      </c>
      <c r="W36" s="23">
        <v>94905</v>
      </c>
      <c r="X36" s="20">
        <f>X37+X38</f>
        <v>10167</v>
      </c>
      <c r="Y36" s="23">
        <v>1352</v>
      </c>
      <c r="Z36" s="20">
        <v>1899</v>
      </c>
      <c r="AA36" s="23">
        <v>6685</v>
      </c>
      <c r="AB36" s="20">
        <v>3091</v>
      </c>
      <c r="AC36" s="88"/>
    </row>
    <row r="37" spans="1:29" s="6" customFormat="1" ht="9.6">
      <c r="A37" s="6" t="s">
        <v>209</v>
      </c>
      <c r="B37" s="13" t="s">
        <v>76</v>
      </c>
      <c r="C37" s="23">
        <v>18633</v>
      </c>
      <c r="D37" s="20">
        <v>15666</v>
      </c>
      <c r="E37" s="23">
        <v>12806</v>
      </c>
      <c r="F37" s="20">
        <v>21776</v>
      </c>
      <c r="G37" s="23">
        <v>30722</v>
      </c>
      <c r="H37" s="20">
        <v>18787</v>
      </c>
      <c r="I37" s="23">
        <v>25704</v>
      </c>
      <c r="J37" s="20">
        <v>13190</v>
      </c>
      <c r="K37" s="23">
        <f>45190+1224+19572</f>
        <v>65986</v>
      </c>
      <c r="L37" s="20">
        <f>29431+21169</f>
        <v>50600</v>
      </c>
      <c r="M37" s="23">
        <v>73529</v>
      </c>
      <c r="N37" s="20">
        <v>135204</v>
      </c>
      <c r="O37" s="23">
        <v>32762</v>
      </c>
      <c r="P37" s="20">
        <v>235694</v>
      </c>
      <c r="Q37" s="23">
        <v>146826</v>
      </c>
      <c r="R37" s="20">
        <v>180980</v>
      </c>
      <c r="S37" s="23">
        <v>267429</v>
      </c>
      <c r="T37" s="20">
        <f>106545-18552</f>
        <v>87993</v>
      </c>
      <c r="U37" s="23">
        <v>7284</v>
      </c>
      <c r="V37" s="20">
        <v>41220</v>
      </c>
      <c r="W37" s="23">
        <v>94404</v>
      </c>
      <c r="X37" s="20">
        <v>9658</v>
      </c>
      <c r="Y37" s="23">
        <v>834</v>
      </c>
      <c r="Z37" s="20">
        <v>1374</v>
      </c>
      <c r="AA37" s="23">
        <v>6046</v>
      </c>
      <c r="AB37" s="20">
        <v>2357</v>
      </c>
      <c r="AC37" s="88"/>
    </row>
    <row r="38" spans="1:29" s="6" customFormat="1" ht="9.6">
      <c r="A38" s="6" t="s">
        <v>210</v>
      </c>
      <c r="B38" s="13" t="s">
        <v>77</v>
      </c>
      <c r="C38" s="23">
        <v>0</v>
      </c>
      <c r="D38" s="20">
        <v>0</v>
      </c>
      <c r="E38" s="23">
        <v>0</v>
      </c>
      <c r="F38" s="20">
        <v>0</v>
      </c>
      <c r="G38" s="23">
        <v>89</v>
      </c>
      <c r="H38" s="20">
        <v>89</v>
      </c>
      <c r="I38" s="23">
        <v>89</v>
      </c>
      <c r="J38" s="20">
        <v>755</v>
      </c>
      <c r="K38" s="23">
        <v>985</v>
      </c>
      <c r="L38" s="20">
        <v>1215</v>
      </c>
      <c r="M38" s="23">
        <v>2274</v>
      </c>
      <c r="N38" s="20">
        <v>486</v>
      </c>
      <c r="O38" s="23">
        <v>755</v>
      </c>
      <c r="P38" s="20">
        <v>496</v>
      </c>
      <c r="Q38" s="23">
        <v>511</v>
      </c>
      <c r="R38" s="20">
        <v>526</v>
      </c>
      <c r="S38" s="23">
        <v>432</v>
      </c>
      <c r="T38" s="20">
        <v>441</v>
      </c>
      <c r="U38" s="23">
        <v>449</v>
      </c>
      <c r="V38" s="20">
        <v>459</v>
      </c>
      <c r="W38" s="23">
        <v>501</v>
      </c>
      <c r="X38" s="20">
        <v>509</v>
      </c>
      <c r="Y38" s="23">
        <v>518</v>
      </c>
      <c r="Z38" s="20">
        <v>525</v>
      </c>
      <c r="AA38" s="23">
        <v>639</v>
      </c>
      <c r="AB38" s="20">
        <v>734</v>
      </c>
      <c r="AC38" s="88"/>
    </row>
    <row r="39" spans="1:29" s="6" customFormat="1" thickBot="1">
      <c r="A39" s="6" t="s">
        <v>211</v>
      </c>
      <c r="B39" s="13" t="s">
        <v>52</v>
      </c>
      <c r="C39" s="23">
        <v>706264</v>
      </c>
      <c r="D39" s="20">
        <v>711094</v>
      </c>
      <c r="E39" s="23">
        <v>707724</v>
      </c>
      <c r="F39" s="20">
        <v>896298</v>
      </c>
      <c r="G39" s="23">
        <v>937739</v>
      </c>
      <c r="H39" s="20">
        <v>1165450</v>
      </c>
      <c r="I39" s="23">
        <v>1163660</v>
      </c>
      <c r="J39" s="20">
        <v>1164794</v>
      </c>
      <c r="K39" s="23">
        <v>1160970</v>
      </c>
      <c r="L39" s="20">
        <v>1160811</v>
      </c>
      <c r="M39" s="23">
        <v>1169760</v>
      </c>
      <c r="N39" s="20">
        <v>1914976</v>
      </c>
      <c r="O39" s="23">
        <v>1164794</v>
      </c>
      <c r="P39" s="20">
        <v>1925334</v>
      </c>
      <c r="Q39" s="23">
        <v>1918988</v>
      </c>
      <c r="R39" s="20">
        <v>1926110</v>
      </c>
      <c r="S39" s="23">
        <v>1918093</v>
      </c>
      <c r="T39" s="20">
        <v>1931830</v>
      </c>
      <c r="U39" s="23">
        <v>1920387</v>
      </c>
      <c r="V39" s="20">
        <v>1928437</v>
      </c>
      <c r="W39" s="23">
        <v>1793985</v>
      </c>
      <c r="X39" s="20">
        <v>1804489</v>
      </c>
      <c r="Y39" s="23">
        <v>1793330</v>
      </c>
      <c r="Z39" s="20">
        <v>1798883</v>
      </c>
      <c r="AA39" s="23">
        <v>1792962</v>
      </c>
      <c r="AB39" s="20">
        <v>1605142</v>
      </c>
      <c r="AC39" s="88"/>
    </row>
    <row r="40" spans="1:29" s="6" customFormat="1" thickBot="1">
      <c r="A40" s="6" t="s">
        <v>212</v>
      </c>
      <c r="B40" s="21" t="s">
        <v>53</v>
      </c>
      <c r="C40" s="24">
        <f t="shared" ref="C40:T40" si="2">C27+C28+C32+C33+C34+C36+C39+C29</f>
        <v>31564134</v>
      </c>
      <c r="D40" s="24">
        <f t="shared" si="2"/>
        <v>33121539</v>
      </c>
      <c r="E40" s="24">
        <f t="shared" si="2"/>
        <v>33833924</v>
      </c>
      <c r="F40" s="24">
        <f t="shared" si="2"/>
        <v>36488911</v>
      </c>
      <c r="G40" s="24">
        <f t="shared" si="2"/>
        <v>38424103</v>
      </c>
      <c r="H40" s="24">
        <f t="shared" si="2"/>
        <v>41240395</v>
      </c>
      <c r="I40" s="24">
        <f t="shared" si="2"/>
        <v>40703931</v>
      </c>
      <c r="J40" s="24">
        <f t="shared" si="2"/>
        <v>55000629</v>
      </c>
      <c r="K40" s="24">
        <f t="shared" si="2"/>
        <v>54163944</v>
      </c>
      <c r="L40" s="24">
        <f t="shared" si="2"/>
        <v>55516892</v>
      </c>
      <c r="M40" s="24">
        <f t="shared" si="2"/>
        <v>58513425</v>
      </c>
      <c r="N40" s="24">
        <f t="shared" si="2"/>
        <v>62824999</v>
      </c>
      <c r="O40" s="24">
        <f t="shared" si="2"/>
        <v>55035628</v>
      </c>
      <c r="P40" s="24">
        <f t="shared" si="2"/>
        <v>64462156</v>
      </c>
      <c r="Q40" s="24">
        <f t="shared" si="2"/>
        <v>64204158</v>
      </c>
      <c r="R40" s="24">
        <f t="shared" si="2"/>
        <v>64872511</v>
      </c>
      <c r="S40" s="24">
        <f t="shared" si="2"/>
        <v>66933964</v>
      </c>
      <c r="T40" s="24">
        <f t="shared" si="2"/>
        <v>68079571</v>
      </c>
      <c r="U40" s="24">
        <f>U27+U28+U32+U33+U34+U36+U39+U29</f>
        <v>70404387</v>
      </c>
      <c r="V40" s="24">
        <f>V27+V28+V32+V33+V34+V36+V39+V29</f>
        <v>70204345</v>
      </c>
      <c r="W40" s="24">
        <v>69976769</v>
      </c>
      <c r="X40" s="24">
        <f>X27+X28+X29+X32+X33+X34+X36+X39</f>
        <v>69689921</v>
      </c>
      <c r="Y40" s="24">
        <f>Y27+Y28+Y29+Y32+Y33+Y34+Y36+Y39+Y35</f>
        <v>71304558</v>
      </c>
      <c r="Z40" s="24">
        <v>71251663</v>
      </c>
      <c r="AA40" s="24">
        <f>AA27+AA28+AA29+AA32+AA33+AA34+AA36+AA39+AA35</f>
        <v>72082430</v>
      </c>
      <c r="AB40" s="24">
        <f>AB27+AB28+AB29+AB32+AB33+AB34+AB36+AB39+AB35</f>
        <v>73334510</v>
      </c>
      <c r="AC40" s="88"/>
    </row>
    <row r="41" spans="1:29" s="6" customFormat="1" ht="9.6">
      <c r="A41" s="6" t="s">
        <v>213</v>
      </c>
      <c r="B41" s="13" t="s">
        <v>66</v>
      </c>
      <c r="C41" s="23">
        <v>725216</v>
      </c>
      <c r="D41" s="20">
        <v>726812</v>
      </c>
      <c r="E41" s="23">
        <v>727076</v>
      </c>
      <c r="F41" s="20">
        <v>727075</v>
      </c>
      <c r="G41" s="23">
        <v>727075</v>
      </c>
      <c r="H41" s="20">
        <v>1292577</v>
      </c>
      <c r="I41" s="23">
        <v>1292577</v>
      </c>
      <c r="J41" s="20">
        <v>1292578</v>
      </c>
      <c r="K41" s="23">
        <v>1292578</v>
      </c>
      <c r="L41" s="20">
        <v>1292578</v>
      </c>
      <c r="M41" s="23">
        <v>1292578</v>
      </c>
      <c r="N41" s="20">
        <v>1292636</v>
      </c>
      <c r="O41" s="23">
        <v>1292578</v>
      </c>
      <c r="P41" s="20">
        <v>1292788</v>
      </c>
      <c r="Q41" s="23">
        <v>1304587</v>
      </c>
      <c r="R41" s="20">
        <v>1305187</v>
      </c>
      <c r="S41" s="23">
        <v>1305540</v>
      </c>
      <c r="T41" s="20">
        <v>1305540</v>
      </c>
      <c r="U41" s="23">
        <v>1305540</v>
      </c>
      <c r="V41" s="20">
        <v>1305540</v>
      </c>
      <c r="W41" s="23">
        <v>1305540</v>
      </c>
      <c r="X41" s="20">
        <v>1305540</v>
      </c>
      <c r="Y41" s="23">
        <v>1305540</v>
      </c>
      <c r="Z41" s="20">
        <v>1305540</v>
      </c>
      <c r="AA41" s="23">
        <v>1305540</v>
      </c>
      <c r="AB41" s="20">
        <v>1305540</v>
      </c>
      <c r="AC41" s="88"/>
    </row>
    <row r="42" spans="1:29" s="6" customFormat="1" ht="9.6">
      <c r="A42" s="6" t="s">
        <v>214</v>
      </c>
      <c r="B42" s="13" t="s">
        <v>67</v>
      </c>
      <c r="C42" s="23">
        <v>1934025</v>
      </c>
      <c r="D42" s="20">
        <v>2278384</v>
      </c>
      <c r="E42" s="23">
        <v>2279758</v>
      </c>
      <c r="F42" s="20">
        <v>2279843</v>
      </c>
      <c r="G42" s="23">
        <v>2591258</v>
      </c>
      <c r="H42" s="20">
        <v>4172467</v>
      </c>
      <c r="I42" s="23">
        <v>4172359</v>
      </c>
      <c r="J42" s="20">
        <v>4185843</v>
      </c>
      <c r="K42" s="23">
        <v>4185843</v>
      </c>
      <c r="L42" s="20">
        <v>4819745</v>
      </c>
      <c r="M42" s="23">
        <v>4820048</v>
      </c>
      <c r="N42" s="20">
        <v>4820048</v>
      </c>
      <c r="O42" s="23">
        <v>4185843</v>
      </c>
      <c r="P42" s="20">
        <v>4820837</v>
      </c>
      <c r="Q42" s="23">
        <v>5385004</v>
      </c>
      <c r="R42" s="20">
        <v>5385004</v>
      </c>
      <c r="S42" s="23">
        <v>5386828</v>
      </c>
      <c r="T42" s="20">
        <v>5386828</v>
      </c>
      <c r="U42" s="23">
        <v>5393358</v>
      </c>
      <c r="V42" s="20">
        <v>5393358</v>
      </c>
      <c r="W42" s="23">
        <v>5393358</v>
      </c>
      <c r="X42" s="20">
        <v>5393358</v>
      </c>
      <c r="Y42" s="23">
        <v>5399627</v>
      </c>
      <c r="Z42" s="20">
        <v>5399627</v>
      </c>
      <c r="AA42" s="23">
        <v>5399627</v>
      </c>
      <c r="AB42" s="20">
        <v>5399627</v>
      </c>
      <c r="AC42" s="88"/>
    </row>
    <row r="43" spans="1:29" s="6" customFormat="1" ht="9.6">
      <c r="A43" s="6" t="s">
        <v>215</v>
      </c>
      <c r="B43" s="13" t="s">
        <v>68</v>
      </c>
      <c r="C43" s="23">
        <v>34018</v>
      </c>
      <c r="D43" s="20">
        <v>-22724</v>
      </c>
      <c r="E43" s="23">
        <v>8989</v>
      </c>
      <c r="F43" s="20">
        <v>15215</v>
      </c>
      <c r="G43" s="23">
        <v>22606</v>
      </c>
      <c r="H43" s="20">
        <v>-3280</v>
      </c>
      <c r="I43" s="23">
        <v>-13874</v>
      </c>
      <c r="J43" s="20">
        <v>-71615</v>
      </c>
      <c r="K43" s="23">
        <v>-44281</v>
      </c>
      <c r="L43" s="20">
        <v>-31339</v>
      </c>
      <c r="M43" s="23">
        <v>3566</v>
      </c>
      <c r="N43" s="20">
        <v>13944</v>
      </c>
      <c r="O43" s="23">
        <v>-71615</v>
      </c>
      <c r="P43" s="20">
        <v>90245</v>
      </c>
      <c r="Q43" s="23">
        <v>64448</v>
      </c>
      <c r="R43" s="20">
        <v>47113</v>
      </c>
      <c r="S43" s="23">
        <v>52164</v>
      </c>
      <c r="T43" s="20">
        <v>3425</v>
      </c>
      <c r="U43" s="23">
        <v>62090</v>
      </c>
      <c r="V43" s="20">
        <v>72928</v>
      </c>
      <c r="W43" s="23">
        <v>76404</v>
      </c>
      <c r="X43" s="20">
        <v>67952</v>
      </c>
      <c r="Y43" s="23">
        <v>220693</v>
      </c>
      <c r="Z43" s="20">
        <v>237582</v>
      </c>
      <c r="AA43" s="23">
        <v>217330</v>
      </c>
      <c r="AB43" s="20">
        <v>93908</v>
      </c>
      <c r="AC43" s="88"/>
    </row>
    <row r="44" spans="1:29" s="6" customFormat="1" ht="9.6">
      <c r="A44" s="6" t="s">
        <v>216</v>
      </c>
      <c r="B44" s="13" t="s">
        <v>69</v>
      </c>
      <c r="C44" s="23">
        <v>184917</v>
      </c>
      <c r="D44" s="20">
        <v>185762</v>
      </c>
      <c r="E44" s="23">
        <v>186671</v>
      </c>
      <c r="F44" s="20">
        <v>184735</v>
      </c>
      <c r="G44" s="23">
        <v>184735</v>
      </c>
      <c r="H44" s="20">
        <v>183803</v>
      </c>
      <c r="I44" s="23">
        <v>183803</v>
      </c>
      <c r="J44" s="20">
        <v>183957</v>
      </c>
      <c r="K44" s="23">
        <v>183957</v>
      </c>
      <c r="L44" s="20">
        <v>183824</v>
      </c>
      <c r="M44" s="23">
        <v>183882</v>
      </c>
      <c r="N44" s="20">
        <v>183824</v>
      </c>
      <c r="O44" s="23">
        <v>183957</v>
      </c>
      <c r="P44" s="20">
        <v>186318</v>
      </c>
      <c r="Q44" s="23">
        <v>172839</v>
      </c>
      <c r="R44" s="20">
        <v>174429</v>
      </c>
      <c r="S44" s="23">
        <v>171629</v>
      </c>
      <c r="T44" s="20">
        <v>171629</v>
      </c>
      <c r="U44" s="23">
        <v>171629</v>
      </c>
      <c r="V44" s="20">
        <v>171629</v>
      </c>
      <c r="W44" s="23">
        <v>166850</v>
      </c>
      <c r="X44" s="20">
        <v>166850</v>
      </c>
      <c r="Y44" s="23">
        <v>166850</v>
      </c>
      <c r="Z44" s="20">
        <v>166850</v>
      </c>
      <c r="AA44" s="23">
        <v>161792</v>
      </c>
      <c r="AB44" s="20">
        <v>161792</v>
      </c>
      <c r="AC44" s="88"/>
    </row>
    <row r="45" spans="1:29" s="6" customFormat="1" ht="9.6">
      <c r="A45" s="6" t="s">
        <v>217</v>
      </c>
      <c r="B45" s="13" t="s">
        <v>70</v>
      </c>
      <c r="C45" s="23">
        <v>0</v>
      </c>
      <c r="D45" s="20">
        <v>0</v>
      </c>
      <c r="E45" s="23">
        <v>0</v>
      </c>
      <c r="F45" s="20">
        <v>0</v>
      </c>
      <c r="G45" s="23">
        <v>0</v>
      </c>
      <c r="H45" s="20">
        <v>0</v>
      </c>
      <c r="I45" s="23">
        <v>16</v>
      </c>
      <c r="J45" s="20">
        <v>-22</v>
      </c>
      <c r="K45" s="23">
        <v>50</v>
      </c>
      <c r="L45" s="20">
        <v>55</v>
      </c>
      <c r="M45" s="23">
        <v>3</v>
      </c>
      <c r="N45" s="20">
        <v>594</v>
      </c>
      <c r="O45" s="23">
        <v>-22</v>
      </c>
      <c r="P45" s="20">
        <v>-21</v>
      </c>
      <c r="Q45" s="23">
        <v>-230</v>
      </c>
      <c r="R45" s="20">
        <v>-6</v>
      </c>
      <c r="S45" s="23">
        <v>-202</v>
      </c>
      <c r="T45" s="20">
        <v>38</v>
      </c>
      <c r="U45" s="23">
        <v>109</v>
      </c>
      <c r="V45" s="20">
        <v>-341</v>
      </c>
      <c r="W45" s="23">
        <v>605</v>
      </c>
      <c r="X45" s="20">
        <v>-627</v>
      </c>
      <c r="Y45" s="23">
        <v>-158</v>
      </c>
      <c r="Z45" s="20">
        <v>-508</v>
      </c>
      <c r="AA45" s="23">
        <v>-1620</v>
      </c>
      <c r="AB45" s="20">
        <v>-172</v>
      </c>
      <c r="AC45" s="88"/>
    </row>
    <row r="46" spans="1:29" s="6" customFormat="1" ht="9.6">
      <c r="A46" s="6" t="s">
        <v>218</v>
      </c>
      <c r="B46" s="13" t="s">
        <v>71</v>
      </c>
      <c r="C46" s="23">
        <v>337522</v>
      </c>
      <c r="D46" s="20">
        <v>-3608</v>
      </c>
      <c r="E46" s="23">
        <v>-3641</v>
      </c>
      <c r="F46" s="20">
        <v>-3657</v>
      </c>
      <c r="G46" s="23">
        <v>-5424</v>
      </c>
      <c r="H46" s="20">
        <v>-7085</v>
      </c>
      <c r="I46" s="23">
        <v>-7085</v>
      </c>
      <c r="J46" s="20">
        <v>-7085</v>
      </c>
      <c r="K46" s="23">
        <f>611193-19572+2977</f>
        <v>594598</v>
      </c>
      <c r="L46" s="20">
        <f>-59035-26819</f>
        <v>-85854</v>
      </c>
      <c r="M46" s="23">
        <v>-92579</v>
      </c>
      <c r="N46" s="20">
        <v>-92579</v>
      </c>
      <c r="O46" s="23">
        <v>-33904</v>
      </c>
      <c r="P46" s="20">
        <v>-651267</v>
      </c>
      <c r="Q46" s="23">
        <v>-1147840</v>
      </c>
      <c r="R46" s="20">
        <v>-1148125</v>
      </c>
      <c r="S46" s="23">
        <f>-1143409-17145</f>
        <v>-1160554</v>
      </c>
      <c r="T46" s="20">
        <v>-430189</v>
      </c>
      <c r="U46" s="23">
        <v>-436524</v>
      </c>
      <c r="V46" s="20">
        <v>-436524</v>
      </c>
      <c r="W46" s="23">
        <v>-453669</v>
      </c>
      <c r="X46" s="20">
        <v>-183996</v>
      </c>
      <c r="Y46" s="23">
        <v>-211834</v>
      </c>
      <c r="Z46" s="20">
        <v>-211834</v>
      </c>
      <c r="AA46" s="23">
        <v>-211834</v>
      </c>
      <c r="AB46" s="20">
        <v>-522681</v>
      </c>
      <c r="AC46" s="88"/>
    </row>
    <row r="47" spans="1:29" s="6" customFormat="1" ht="9.6">
      <c r="A47" s="6" t="s">
        <v>219</v>
      </c>
      <c r="B47" s="13" t="s">
        <v>72</v>
      </c>
      <c r="C47" s="23">
        <v>91224</v>
      </c>
      <c r="D47" s="20">
        <v>179035</v>
      </c>
      <c r="E47" s="23">
        <v>270022</v>
      </c>
      <c r="F47" s="20">
        <v>309648</v>
      </c>
      <c r="G47" s="23">
        <v>80227</v>
      </c>
      <c r="H47" s="20">
        <v>161888</v>
      </c>
      <c r="I47" s="23">
        <v>248827</v>
      </c>
      <c r="J47" s="20">
        <v>575227</v>
      </c>
      <c r="K47" s="23">
        <f>82361-20236</f>
        <v>62125</v>
      </c>
      <c r="L47" s="20">
        <f>182311-20426</f>
        <v>161885</v>
      </c>
      <c r="M47" s="23">
        <v>340061</v>
      </c>
      <c r="N47" s="20">
        <v>471194</v>
      </c>
      <c r="O47" s="23">
        <v>575227</v>
      </c>
      <c r="P47" s="20">
        <v>154460</v>
      </c>
      <c r="Q47" s="23">
        <v>354293</v>
      </c>
      <c r="R47" s="20">
        <v>531110</v>
      </c>
      <c r="S47" s="23">
        <v>713373</v>
      </c>
      <c r="T47" s="20">
        <v>122041</v>
      </c>
      <c r="U47" s="23">
        <v>157799</v>
      </c>
      <c r="V47" s="20">
        <v>272739</v>
      </c>
      <c r="W47" s="23">
        <v>248280</v>
      </c>
      <c r="X47" s="20">
        <v>73235</v>
      </c>
      <c r="Y47" s="23">
        <v>-513367</v>
      </c>
      <c r="Z47" s="20">
        <v>-431581</v>
      </c>
      <c r="AA47" s="23">
        <v>-311233</v>
      </c>
      <c r="AB47" s="20">
        <v>108094</v>
      </c>
      <c r="AC47" s="88"/>
    </row>
    <row r="48" spans="1:29" s="6" customFormat="1" thickBot="1">
      <c r="A48" s="6" t="s">
        <v>220</v>
      </c>
      <c r="B48" s="13" t="s">
        <v>73</v>
      </c>
      <c r="C48" s="23">
        <v>15080</v>
      </c>
      <c r="D48" s="20">
        <v>1560</v>
      </c>
      <c r="E48" s="23">
        <v>1461</v>
      </c>
      <c r="F48" s="20">
        <v>1240</v>
      </c>
      <c r="G48" s="23">
        <v>1114.5291504909401</v>
      </c>
      <c r="H48" s="20">
        <v>987</v>
      </c>
      <c r="I48" s="23">
        <v>985</v>
      </c>
      <c r="J48" s="20">
        <v>979</v>
      </c>
      <c r="K48" s="23">
        <v>1023</v>
      </c>
      <c r="L48" s="20">
        <v>1019</v>
      </c>
      <c r="M48" s="23">
        <v>1109</v>
      </c>
      <c r="N48" s="20">
        <v>1322</v>
      </c>
      <c r="O48" s="23">
        <v>979</v>
      </c>
      <c r="P48" s="20">
        <v>263</v>
      </c>
      <c r="Q48" s="23">
        <v>0</v>
      </c>
      <c r="R48" s="20">
        <v>0</v>
      </c>
      <c r="S48" s="23">
        <v>0</v>
      </c>
      <c r="T48" s="20">
        <v>0</v>
      </c>
      <c r="U48" s="23">
        <v>0</v>
      </c>
      <c r="V48" s="20">
        <v>0</v>
      </c>
      <c r="W48" s="23">
        <v>0</v>
      </c>
      <c r="X48" s="20">
        <v>0</v>
      </c>
      <c r="Y48" s="23">
        <v>0</v>
      </c>
      <c r="Z48" s="20">
        <v>0</v>
      </c>
      <c r="AA48" s="23">
        <v>0</v>
      </c>
      <c r="AB48" s="20">
        <v>0</v>
      </c>
      <c r="AC48" s="88"/>
    </row>
    <row r="49" spans="1:29" s="6" customFormat="1" thickBot="1">
      <c r="A49" s="6" t="s">
        <v>221</v>
      </c>
      <c r="B49" s="21" t="s">
        <v>54</v>
      </c>
      <c r="C49" s="24">
        <f t="shared" ref="C49:L49" si="3">SUM(C41:C48)</f>
        <v>3322002</v>
      </c>
      <c r="D49" s="24">
        <f t="shared" si="3"/>
        <v>3345221</v>
      </c>
      <c r="E49" s="24">
        <f t="shared" si="3"/>
        <v>3470336</v>
      </c>
      <c r="F49" s="24">
        <f t="shared" si="3"/>
        <v>3514099</v>
      </c>
      <c r="G49" s="24">
        <f t="shared" si="3"/>
        <v>3601591.5291504911</v>
      </c>
      <c r="H49" s="24">
        <f t="shared" si="3"/>
        <v>5801357</v>
      </c>
      <c r="I49" s="24">
        <f t="shared" si="3"/>
        <v>5877608</v>
      </c>
      <c r="J49" s="24">
        <f t="shared" si="3"/>
        <v>6159862</v>
      </c>
      <c r="K49" s="24">
        <f t="shared" si="3"/>
        <v>6275893</v>
      </c>
      <c r="L49" s="24">
        <f t="shared" si="3"/>
        <v>6341913</v>
      </c>
      <c r="M49" s="24">
        <f>SUM(M41:M48)</f>
        <v>6548668</v>
      </c>
      <c r="N49" s="24">
        <f t="shared" ref="N49:V49" si="4">SUM(N41:N48)</f>
        <v>6690983</v>
      </c>
      <c r="O49" s="24">
        <f t="shared" si="4"/>
        <v>6133043</v>
      </c>
      <c r="P49" s="24">
        <f t="shared" si="4"/>
        <v>5893623</v>
      </c>
      <c r="Q49" s="24">
        <f t="shared" si="4"/>
        <v>6133101</v>
      </c>
      <c r="R49" s="24">
        <f t="shared" si="4"/>
        <v>6294712</v>
      </c>
      <c r="S49" s="24">
        <f t="shared" si="4"/>
        <v>6468778</v>
      </c>
      <c r="T49" s="24">
        <f t="shared" si="4"/>
        <v>6559312</v>
      </c>
      <c r="U49" s="24">
        <f t="shared" si="4"/>
        <v>6654001</v>
      </c>
      <c r="V49" s="24">
        <f t="shared" si="4"/>
        <v>6779329</v>
      </c>
      <c r="W49" s="24">
        <v>6737368</v>
      </c>
      <c r="X49" s="24">
        <f>X41+X42+X43+X44+X45+X46+X47</f>
        <v>6822312</v>
      </c>
      <c r="Y49" s="24">
        <f>Y41+Y42+Y43+Y44+Y45+Y46+Y47</f>
        <v>6367351</v>
      </c>
      <c r="Z49" s="24">
        <v>6465676</v>
      </c>
      <c r="AA49" s="24">
        <f>AA41+AA42+AA43+AA44+AA45+AA46+AA47</f>
        <v>6559602</v>
      </c>
      <c r="AB49" s="24">
        <f>AB41+AB42+AB43+AB44+AB45+AB46+AB47</f>
        <v>6546108</v>
      </c>
      <c r="AC49" s="88"/>
    </row>
    <row r="50" spans="1:29" s="6" customFormat="1" thickBot="1">
      <c r="A50" s="6" t="s">
        <v>222</v>
      </c>
      <c r="B50" s="21" t="s">
        <v>57</v>
      </c>
      <c r="C50" s="24">
        <f t="shared" ref="C50:V50" si="5">C49+C40</f>
        <v>34886136</v>
      </c>
      <c r="D50" s="24">
        <f t="shared" si="5"/>
        <v>36466760</v>
      </c>
      <c r="E50" s="24">
        <f t="shared" si="5"/>
        <v>37304260</v>
      </c>
      <c r="F50" s="24">
        <f t="shared" si="5"/>
        <v>40003010</v>
      </c>
      <c r="G50" s="24">
        <f t="shared" si="5"/>
        <v>42025694.529150493</v>
      </c>
      <c r="H50" s="24">
        <f t="shared" si="5"/>
        <v>47041752</v>
      </c>
      <c r="I50" s="24">
        <f t="shared" si="5"/>
        <v>46581539</v>
      </c>
      <c r="J50" s="24">
        <f t="shared" si="5"/>
        <v>61160491</v>
      </c>
      <c r="K50" s="24">
        <f t="shared" si="5"/>
        <v>60439837</v>
      </c>
      <c r="L50" s="24">
        <f t="shared" si="5"/>
        <v>61858805</v>
      </c>
      <c r="M50" s="24">
        <f t="shared" si="5"/>
        <v>65062093</v>
      </c>
      <c r="N50" s="24">
        <f t="shared" si="5"/>
        <v>69515982</v>
      </c>
      <c r="O50" s="24">
        <f t="shared" si="5"/>
        <v>61168671</v>
      </c>
      <c r="P50" s="24">
        <f t="shared" si="5"/>
        <v>70355779</v>
      </c>
      <c r="Q50" s="24">
        <f t="shared" si="5"/>
        <v>70337259</v>
      </c>
      <c r="R50" s="24">
        <f t="shared" si="5"/>
        <v>71167223</v>
      </c>
      <c r="S50" s="24">
        <f t="shared" si="5"/>
        <v>73402742</v>
      </c>
      <c r="T50" s="24">
        <f t="shared" si="5"/>
        <v>74638883</v>
      </c>
      <c r="U50" s="24">
        <f t="shared" si="5"/>
        <v>77058388</v>
      </c>
      <c r="V50" s="24">
        <f t="shared" si="5"/>
        <v>76983674</v>
      </c>
      <c r="W50" s="24">
        <v>76714137</v>
      </c>
      <c r="X50" s="24">
        <f>X40+X49</f>
        <v>76512233</v>
      </c>
      <c r="Y50" s="24">
        <f>Y40+Y49</f>
        <v>77671909</v>
      </c>
      <c r="Z50" s="24">
        <v>77717339</v>
      </c>
      <c r="AA50" s="24">
        <f>AA40+AA49</f>
        <v>78642032</v>
      </c>
      <c r="AB50" s="24">
        <f>AB40+AB49</f>
        <v>79880618</v>
      </c>
      <c r="AC50" s="88"/>
    </row>
    <row r="51" spans="1:29" ht="28.8">
      <c r="W51" s="26" t="s">
        <v>355</v>
      </c>
      <c r="Y51" s="26"/>
      <c r="AA51" s="26"/>
      <c r="AB51" s="29"/>
      <c r="AC51" s="88"/>
    </row>
    <row r="52" spans="1:29" ht="115.2">
      <c r="W52" s="26" t="s">
        <v>357</v>
      </c>
      <c r="Y52" s="26"/>
      <c r="AA52" s="26"/>
      <c r="AB52" s="29"/>
      <c r="AC52" s="88"/>
    </row>
    <row r="53" spans="1:29">
      <c r="AB53" s="29"/>
    </row>
    <row r="54" spans="1:29">
      <c r="AB54" s="29"/>
    </row>
    <row r="55" spans="1:29">
      <c r="AB55" s="29"/>
    </row>
    <row r="56" spans="1:29" ht="14.4">
      <c r="W56" s="90"/>
      <c r="AB56" s="29"/>
    </row>
    <row r="57" spans="1:29">
      <c r="AB57" s="29"/>
    </row>
    <row r="58" spans="1:29">
      <c r="AB58" s="2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F34"/>
  <sheetViews>
    <sheetView zoomScaleNormal="100" workbookViewId="0">
      <pane xSplit="2" ySplit="2" topLeftCell="W3" activePane="bottomRight" state="frozen"/>
      <selection pane="topRight" activeCell="C1" sqref="C1"/>
      <selection pane="bottomLeft" activeCell="A3" sqref="A3"/>
      <selection pane="bottomRight"/>
    </sheetView>
  </sheetViews>
  <sheetFormatPr defaultColWidth="9.28515625" defaultRowHeight="9.6"/>
  <cols>
    <col min="1" max="1" width="33.28515625" style="6" customWidth="1"/>
    <col min="2" max="2" width="48.28515625" style="6" customWidth="1"/>
    <col min="3" max="13" width="8.7109375" style="6" bestFit="1" customWidth="1"/>
    <col min="14" max="14" width="8.7109375" style="29" bestFit="1" customWidth="1"/>
    <col min="15" max="16" width="8.7109375" style="6" bestFit="1" customWidth="1"/>
    <col min="17" max="22" width="8.7109375" style="29" bestFit="1" customWidth="1"/>
    <col min="23" max="27" width="14.140625" style="29" customWidth="1"/>
    <col min="28" max="28" width="12.140625" style="29" customWidth="1"/>
    <col min="29" max="16384" width="9.28515625" style="6"/>
  </cols>
  <sheetData>
    <row r="1" spans="1:32" ht="10.8" thickBot="1">
      <c r="Q1" s="6"/>
      <c r="R1" s="6"/>
      <c r="S1" s="8"/>
      <c r="T1" s="8"/>
      <c r="U1" s="8"/>
      <c r="V1" s="8"/>
      <c r="W1" s="8"/>
      <c r="X1" s="8"/>
      <c r="Y1" s="8"/>
      <c r="Z1" s="8"/>
    </row>
    <row r="2" spans="1:32" ht="19.8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361</v>
      </c>
      <c r="T2" s="5" t="s">
        <v>37</v>
      </c>
      <c r="U2" s="5" t="s">
        <v>363</v>
      </c>
      <c r="V2" s="5" t="s">
        <v>373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</row>
    <row r="3" spans="1:32">
      <c r="A3" s="6" t="s">
        <v>229</v>
      </c>
      <c r="B3" s="30" t="s">
        <v>0</v>
      </c>
      <c r="C3" s="31">
        <v>556125</v>
      </c>
      <c r="D3" s="32">
        <v>596336</v>
      </c>
      <c r="E3" s="31">
        <v>614421</v>
      </c>
      <c r="F3" s="32">
        <v>632338</v>
      </c>
      <c r="G3" s="31">
        <v>578002</v>
      </c>
      <c r="H3" s="32">
        <v>614131</v>
      </c>
      <c r="I3" s="31">
        <v>655890</v>
      </c>
      <c r="J3" s="32">
        <v>795858</v>
      </c>
      <c r="K3" s="31">
        <v>867326</v>
      </c>
      <c r="L3" s="32">
        <v>892704</v>
      </c>
      <c r="M3" s="31">
        <v>903610</v>
      </c>
      <c r="N3" s="32">
        <v>937491</v>
      </c>
      <c r="O3" s="31">
        <v>912897</v>
      </c>
      <c r="P3" s="32">
        <v>939599</v>
      </c>
      <c r="Q3" s="31">
        <v>957980</v>
      </c>
      <c r="R3" s="32">
        <v>982068</v>
      </c>
      <c r="S3" s="27">
        <v>986612</v>
      </c>
      <c r="T3" s="32">
        <v>1010905</v>
      </c>
      <c r="U3" s="31">
        <v>985175</v>
      </c>
      <c r="V3" s="32">
        <v>925294</v>
      </c>
      <c r="W3" s="31">
        <v>937951</v>
      </c>
      <c r="X3" s="32">
        <v>821385</v>
      </c>
      <c r="Y3" s="31">
        <v>726585</v>
      </c>
      <c r="Z3" s="32">
        <v>675492</v>
      </c>
      <c r="AA3" s="31">
        <v>682536</v>
      </c>
      <c r="AC3" s="17"/>
      <c r="AD3" s="17"/>
      <c r="AE3" s="29"/>
      <c r="AF3" s="17"/>
    </row>
    <row r="4" spans="1:32">
      <c r="A4" s="6" t="s">
        <v>230</v>
      </c>
      <c r="B4" s="30" t="s">
        <v>26</v>
      </c>
      <c r="C4" s="31" t="s">
        <v>123</v>
      </c>
      <c r="D4" s="32" t="s">
        <v>123</v>
      </c>
      <c r="E4" s="31" t="s">
        <v>123</v>
      </c>
      <c r="F4" s="32" t="s">
        <v>123</v>
      </c>
      <c r="G4" s="31" t="s">
        <v>123</v>
      </c>
      <c r="H4" s="32" t="s">
        <v>123</v>
      </c>
      <c r="I4" s="31" t="s">
        <v>123</v>
      </c>
      <c r="J4" s="32" t="s">
        <v>123</v>
      </c>
      <c r="K4" s="31" t="s">
        <v>123</v>
      </c>
      <c r="L4" s="32" t="s">
        <v>123</v>
      </c>
      <c r="M4" s="31" t="s">
        <v>123</v>
      </c>
      <c r="N4" s="32" t="s">
        <v>123</v>
      </c>
      <c r="O4" s="31">
        <v>35078</v>
      </c>
      <c r="P4" s="32">
        <v>52175</v>
      </c>
      <c r="Q4" s="31">
        <v>38463</v>
      </c>
      <c r="R4" s="32">
        <v>38112</v>
      </c>
      <c r="S4" s="27">
        <v>33474</v>
      </c>
      <c r="T4" s="32">
        <f>Odsetki!T22</f>
        <v>35442</v>
      </c>
      <c r="U4" s="31">
        <f>Odsetki!U22</f>
        <v>44164</v>
      </c>
      <c r="V4" s="32">
        <v>40445</v>
      </c>
      <c r="W4" s="31">
        <v>22486</v>
      </c>
      <c r="X4" s="32">
        <v>38304</v>
      </c>
      <c r="Y4" s="31">
        <v>54324</v>
      </c>
      <c r="Z4" s="32">
        <v>58714</v>
      </c>
      <c r="AA4" s="31">
        <v>62130</v>
      </c>
      <c r="AC4" s="17"/>
      <c r="AD4" s="17"/>
      <c r="AE4" s="29"/>
      <c r="AF4" s="17"/>
    </row>
    <row r="5" spans="1:32">
      <c r="A5" s="6" t="s">
        <v>231</v>
      </c>
      <c r="B5" s="30" t="s">
        <v>1</v>
      </c>
      <c r="C5" s="31">
        <v>-211821</v>
      </c>
      <c r="D5" s="32">
        <v>-222926</v>
      </c>
      <c r="E5" s="31">
        <v>-230697</v>
      </c>
      <c r="F5" s="32">
        <v>-232763</v>
      </c>
      <c r="G5" s="31">
        <v>-165508</v>
      </c>
      <c r="H5" s="32">
        <v>-169958</v>
      </c>
      <c r="I5" s="31">
        <v>-165380</v>
      </c>
      <c r="J5" s="32">
        <v>-196986</v>
      </c>
      <c r="K5" s="31">
        <v>-204313</v>
      </c>
      <c r="L5" s="32">
        <v>-170049</v>
      </c>
      <c r="M5" s="31">
        <v>-175482</v>
      </c>
      <c r="N5" s="32">
        <v>-195146</v>
      </c>
      <c r="O5" s="31">
        <v>-210323</v>
      </c>
      <c r="P5" s="32">
        <v>-228486</v>
      </c>
      <c r="Q5" s="31">
        <v>-213747</v>
      </c>
      <c r="R5" s="32">
        <v>-219292</v>
      </c>
      <c r="S5" s="27">
        <v>-216279</v>
      </c>
      <c r="T5" s="32">
        <v>-217172</v>
      </c>
      <c r="U5" s="31">
        <v>-226328</v>
      </c>
      <c r="V5" s="32">
        <v>-218067</v>
      </c>
      <c r="W5" s="31">
        <v>-183553</v>
      </c>
      <c r="X5" s="32">
        <v>-137708</v>
      </c>
      <c r="Y5" s="31">
        <v>-97794</v>
      </c>
      <c r="Z5" s="32">
        <v>-67460</v>
      </c>
      <c r="AA5" s="31">
        <v>-74488</v>
      </c>
      <c r="AC5" s="17"/>
      <c r="AD5" s="17"/>
      <c r="AE5" s="29"/>
      <c r="AF5" s="17"/>
    </row>
    <row r="6" spans="1:32">
      <c r="A6" s="6" t="s">
        <v>232</v>
      </c>
      <c r="B6" s="33" t="s">
        <v>2</v>
      </c>
      <c r="C6" s="34">
        <f t="shared" ref="C6:R6" si="0">SUM(C3:C5)</f>
        <v>344304</v>
      </c>
      <c r="D6" s="34">
        <f t="shared" si="0"/>
        <v>373410</v>
      </c>
      <c r="E6" s="34">
        <f t="shared" si="0"/>
        <v>383724</v>
      </c>
      <c r="F6" s="34">
        <f t="shared" si="0"/>
        <v>399575</v>
      </c>
      <c r="G6" s="34">
        <f t="shared" si="0"/>
        <v>412494</v>
      </c>
      <c r="H6" s="34">
        <f t="shared" si="0"/>
        <v>444173</v>
      </c>
      <c r="I6" s="34">
        <f t="shared" si="0"/>
        <v>490510</v>
      </c>
      <c r="J6" s="34">
        <f t="shared" si="0"/>
        <v>598872</v>
      </c>
      <c r="K6" s="34">
        <f t="shared" si="0"/>
        <v>663013</v>
      </c>
      <c r="L6" s="34">
        <f t="shared" si="0"/>
        <v>722655</v>
      </c>
      <c r="M6" s="34">
        <f t="shared" si="0"/>
        <v>728128</v>
      </c>
      <c r="N6" s="34">
        <f t="shared" si="0"/>
        <v>742345</v>
      </c>
      <c r="O6" s="34">
        <f t="shared" si="0"/>
        <v>737652</v>
      </c>
      <c r="P6" s="34">
        <f t="shared" si="0"/>
        <v>763288</v>
      </c>
      <c r="Q6" s="34">
        <f t="shared" si="0"/>
        <v>782696</v>
      </c>
      <c r="R6" s="34">
        <f t="shared" si="0"/>
        <v>800888</v>
      </c>
      <c r="S6" s="28">
        <v>803807</v>
      </c>
      <c r="T6" s="34">
        <f>SUM(T3:T5)</f>
        <v>829175</v>
      </c>
      <c r="U6" s="37">
        <f>SUM(U3:U5)</f>
        <v>803011</v>
      </c>
      <c r="V6" s="34">
        <v>747672</v>
      </c>
      <c r="W6" s="37">
        <f>SUM(W3:W5)</f>
        <v>776884</v>
      </c>
      <c r="X6" s="34">
        <v>721981</v>
      </c>
      <c r="Y6" s="37">
        <v>683115</v>
      </c>
      <c r="Z6" s="34">
        <v>666746</v>
      </c>
      <c r="AA6" s="37">
        <f>SUM(AA3:AA5)</f>
        <v>670178</v>
      </c>
      <c r="AB6" s="69"/>
      <c r="AC6" s="17"/>
      <c r="AD6" s="17"/>
      <c r="AE6" s="69"/>
      <c r="AF6" s="17"/>
    </row>
    <row r="7" spans="1:32">
      <c r="A7" s="6" t="s">
        <v>233</v>
      </c>
      <c r="B7" s="35" t="s">
        <v>4</v>
      </c>
      <c r="C7" s="31">
        <v>135582</v>
      </c>
      <c r="D7" s="32">
        <v>124811</v>
      </c>
      <c r="E7" s="31">
        <v>144977</v>
      </c>
      <c r="F7" s="32">
        <v>140360</v>
      </c>
      <c r="G7" s="31">
        <v>137970</v>
      </c>
      <c r="H7" s="32">
        <v>137134</v>
      </c>
      <c r="I7" s="31">
        <v>135490</v>
      </c>
      <c r="J7" s="32">
        <v>180107</v>
      </c>
      <c r="K7" s="31">
        <v>189088</v>
      </c>
      <c r="L7" s="32">
        <v>203275</v>
      </c>
      <c r="M7" s="31">
        <v>201424</v>
      </c>
      <c r="N7" s="32">
        <v>211816</v>
      </c>
      <c r="O7" s="31">
        <v>264369</v>
      </c>
      <c r="P7" s="32">
        <v>265023</v>
      </c>
      <c r="Q7" s="31">
        <v>283467</v>
      </c>
      <c r="R7" s="32">
        <v>286609</v>
      </c>
      <c r="S7" s="27">
        <v>266948</v>
      </c>
      <c r="T7" s="32">
        <v>284261</v>
      </c>
      <c r="U7" s="31">
        <v>302209</v>
      </c>
      <c r="V7" s="32">
        <v>305421</v>
      </c>
      <c r="W7" s="31">
        <v>269347</v>
      </c>
      <c r="X7" s="32">
        <v>294250</v>
      </c>
      <c r="Y7" s="31">
        <v>329428</v>
      </c>
      <c r="Z7" s="32">
        <v>322724</v>
      </c>
      <c r="AA7" s="31">
        <v>316398</v>
      </c>
      <c r="AC7" s="17"/>
      <c r="AD7" s="17"/>
      <c r="AE7" s="29"/>
      <c r="AF7" s="17"/>
    </row>
    <row r="8" spans="1:32">
      <c r="A8" s="6" t="s">
        <v>234</v>
      </c>
      <c r="B8" s="35" t="s">
        <v>5</v>
      </c>
      <c r="C8" s="31">
        <v>-42799</v>
      </c>
      <c r="D8" s="32">
        <v>-54485</v>
      </c>
      <c r="E8" s="31">
        <v>-55868</v>
      </c>
      <c r="F8" s="32">
        <v>-60910</v>
      </c>
      <c r="G8" s="31">
        <v>-50709</v>
      </c>
      <c r="H8" s="32">
        <v>-60976</v>
      </c>
      <c r="I8" s="31">
        <v>-59329</v>
      </c>
      <c r="J8" s="32">
        <v>-88553</v>
      </c>
      <c r="K8" s="31">
        <v>-78059</v>
      </c>
      <c r="L8" s="32">
        <v>-91077</v>
      </c>
      <c r="M8" s="31">
        <v>-104094</v>
      </c>
      <c r="N8" s="32">
        <v>-101622</v>
      </c>
      <c r="O8" s="31">
        <v>-87495</v>
      </c>
      <c r="P8" s="32">
        <v>-94428</v>
      </c>
      <c r="Q8" s="31">
        <v>-104905</v>
      </c>
      <c r="R8" s="32">
        <v>-102641</v>
      </c>
      <c r="S8" s="27">
        <v>-97084</v>
      </c>
      <c r="T8" s="32">
        <v>-127451</v>
      </c>
      <c r="U8" s="31">
        <v>-131965</v>
      </c>
      <c r="V8" s="32">
        <v>-142494</v>
      </c>
      <c r="W8" s="31">
        <v>-134176</v>
      </c>
      <c r="X8" s="32">
        <v>-139666</v>
      </c>
      <c r="Y8" s="31">
        <v>-160326</v>
      </c>
      <c r="Z8" s="32">
        <v>-145735</v>
      </c>
      <c r="AA8" s="31">
        <v>-138688</v>
      </c>
      <c r="AC8" s="17"/>
      <c r="AD8" s="17"/>
      <c r="AE8" s="29"/>
      <c r="AF8" s="17"/>
    </row>
    <row r="9" spans="1:32">
      <c r="A9" s="6" t="s">
        <v>235</v>
      </c>
      <c r="B9" s="33" t="s">
        <v>23</v>
      </c>
      <c r="C9" s="34">
        <f t="shared" ref="C9:R9" si="1">SUM(C7:C8)</f>
        <v>92783</v>
      </c>
      <c r="D9" s="34">
        <f t="shared" si="1"/>
        <v>70326</v>
      </c>
      <c r="E9" s="34">
        <f t="shared" si="1"/>
        <v>89109</v>
      </c>
      <c r="F9" s="34">
        <f t="shared" si="1"/>
        <v>79450</v>
      </c>
      <c r="G9" s="34">
        <f t="shared" si="1"/>
        <v>87261</v>
      </c>
      <c r="H9" s="34">
        <f t="shared" si="1"/>
        <v>76158</v>
      </c>
      <c r="I9" s="34">
        <f t="shared" si="1"/>
        <v>76161</v>
      </c>
      <c r="J9" s="34">
        <f t="shared" si="1"/>
        <v>91554</v>
      </c>
      <c r="K9" s="34">
        <f t="shared" si="1"/>
        <v>111029</v>
      </c>
      <c r="L9" s="34">
        <f t="shared" si="1"/>
        <v>112198</v>
      </c>
      <c r="M9" s="34">
        <f t="shared" si="1"/>
        <v>97330</v>
      </c>
      <c r="N9" s="34">
        <f t="shared" si="1"/>
        <v>110194</v>
      </c>
      <c r="O9" s="34">
        <f t="shared" si="1"/>
        <v>176874</v>
      </c>
      <c r="P9" s="34">
        <f t="shared" si="1"/>
        <v>170595</v>
      </c>
      <c r="Q9" s="34">
        <f t="shared" si="1"/>
        <v>178562</v>
      </c>
      <c r="R9" s="34">
        <f t="shared" si="1"/>
        <v>183968</v>
      </c>
      <c r="S9" s="37">
        <f t="shared" ref="S9:T9" si="2">S7+S8</f>
        <v>169864</v>
      </c>
      <c r="T9" s="37">
        <f t="shared" si="2"/>
        <v>156810</v>
      </c>
      <c r="U9" s="37">
        <f>U7+U8</f>
        <v>170244</v>
      </c>
      <c r="V9" s="37">
        <v>162927</v>
      </c>
      <c r="W9" s="37">
        <f t="shared" ref="W9:Z9" si="3">W7+W8</f>
        <v>135171</v>
      </c>
      <c r="X9" s="37">
        <f t="shared" si="3"/>
        <v>154584</v>
      </c>
      <c r="Y9" s="37">
        <f t="shared" si="3"/>
        <v>169102</v>
      </c>
      <c r="Z9" s="37">
        <f t="shared" si="3"/>
        <v>176989</v>
      </c>
      <c r="AA9" s="37">
        <f t="shared" ref="AA9" si="4">AA7+AA8</f>
        <v>177710</v>
      </c>
      <c r="AC9" s="17"/>
      <c r="AD9" s="17"/>
      <c r="AE9" s="29"/>
      <c r="AF9" s="17"/>
    </row>
    <row r="10" spans="1:32">
      <c r="A10" s="6" t="s">
        <v>236</v>
      </c>
      <c r="B10" s="35" t="s">
        <v>3</v>
      </c>
      <c r="C10" s="31">
        <v>0</v>
      </c>
      <c r="D10" s="32">
        <v>42</v>
      </c>
      <c r="E10" s="31">
        <v>22</v>
      </c>
      <c r="F10" s="32">
        <v>10</v>
      </c>
      <c r="G10" s="31">
        <v>0</v>
      </c>
      <c r="H10" s="32">
        <v>34</v>
      </c>
      <c r="I10" s="31">
        <v>17</v>
      </c>
      <c r="J10" s="32">
        <v>17</v>
      </c>
      <c r="K10" s="31">
        <v>0</v>
      </c>
      <c r="L10" s="32">
        <v>2</v>
      </c>
      <c r="M10" s="31">
        <v>25</v>
      </c>
      <c r="N10" s="32">
        <v>4</v>
      </c>
      <c r="O10" s="31">
        <v>0</v>
      </c>
      <c r="P10" s="32">
        <v>94</v>
      </c>
      <c r="Q10" s="31">
        <v>49</v>
      </c>
      <c r="R10" s="32">
        <v>132</v>
      </c>
      <c r="S10" s="27">
        <v>0</v>
      </c>
      <c r="T10" s="32">
        <v>173</v>
      </c>
      <c r="U10" s="31">
        <v>84</v>
      </c>
      <c r="V10" s="32">
        <v>87</v>
      </c>
      <c r="W10" s="31">
        <v>114</v>
      </c>
      <c r="X10" s="32">
        <v>107</v>
      </c>
      <c r="Y10" s="31">
        <v>373</v>
      </c>
      <c r="Z10" s="32">
        <v>106</v>
      </c>
      <c r="AA10" s="31">
        <v>106</v>
      </c>
      <c r="AC10" s="17"/>
      <c r="AD10" s="17"/>
      <c r="AE10" s="29"/>
      <c r="AF10" s="17"/>
    </row>
    <row r="11" spans="1:32" ht="19.2">
      <c r="A11" s="6" t="s">
        <v>237</v>
      </c>
      <c r="B11" s="35" t="s">
        <v>35</v>
      </c>
      <c r="C11" s="31">
        <v>64392</v>
      </c>
      <c r="D11" s="32">
        <v>71424</v>
      </c>
      <c r="E11" s="31">
        <v>58030</v>
      </c>
      <c r="F11" s="32">
        <v>74833</v>
      </c>
      <c r="G11" s="31">
        <v>58317</v>
      </c>
      <c r="H11" s="32">
        <v>72819</v>
      </c>
      <c r="I11" s="31">
        <v>78177</v>
      </c>
      <c r="J11" s="32">
        <v>111196</v>
      </c>
      <c r="K11" s="31">
        <v>65561</v>
      </c>
      <c r="L11" s="32">
        <v>90085</v>
      </c>
      <c r="M11" s="31">
        <v>88864</v>
      </c>
      <c r="N11" s="32">
        <v>93323</v>
      </c>
      <c r="O11" s="31">
        <v>9990</v>
      </c>
      <c r="P11" s="32">
        <v>43028</v>
      </c>
      <c r="Q11" s="31">
        <v>28712</v>
      </c>
      <c r="R11" s="32">
        <v>15954</v>
      </c>
      <c r="S11" s="27">
        <v>22686</v>
      </c>
      <c r="T11" s="32">
        <v>10580</v>
      </c>
      <c r="U11" s="31">
        <v>14863</v>
      </c>
      <c r="V11" s="32">
        <v>53881</v>
      </c>
      <c r="W11" s="31">
        <v>1339</v>
      </c>
      <c r="X11" s="32">
        <v>15004</v>
      </c>
      <c r="Y11" s="31">
        <v>19743</v>
      </c>
      <c r="Z11" s="32">
        <v>42984</v>
      </c>
      <c r="AA11" s="31">
        <v>18731</v>
      </c>
      <c r="AC11" s="17"/>
      <c r="AD11" s="17"/>
      <c r="AE11" s="29"/>
      <c r="AF11" s="17"/>
    </row>
    <row r="12" spans="1:32" ht="19.2">
      <c r="A12" s="6" t="s">
        <v>252</v>
      </c>
      <c r="B12" s="35" t="s">
        <v>6</v>
      </c>
      <c r="C12" s="31">
        <v>4848</v>
      </c>
      <c r="D12" s="32">
        <v>-503</v>
      </c>
      <c r="E12" s="31">
        <v>3145</v>
      </c>
      <c r="F12" s="32">
        <v>5433</v>
      </c>
      <c r="G12" s="31">
        <v>10610</v>
      </c>
      <c r="H12" s="32">
        <v>10156</v>
      </c>
      <c r="I12" s="31">
        <v>214</v>
      </c>
      <c r="J12" s="32">
        <v>939</v>
      </c>
      <c r="K12" s="31">
        <v>454</v>
      </c>
      <c r="L12" s="32">
        <v>712</v>
      </c>
      <c r="M12" s="31">
        <v>814</v>
      </c>
      <c r="N12" s="32">
        <v>4928</v>
      </c>
      <c r="O12" s="31" t="s">
        <v>123</v>
      </c>
      <c r="P12" s="32" t="s">
        <v>123</v>
      </c>
      <c r="Q12" s="31" t="s">
        <v>123</v>
      </c>
      <c r="R12" s="32" t="s">
        <v>123</v>
      </c>
      <c r="S12" s="31" t="s">
        <v>123</v>
      </c>
      <c r="T12" s="32" t="s">
        <v>123</v>
      </c>
      <c r="U12" s="31" t="s">
        <v>123</v>
      </c>
      <c r="V12" s="32" t="s">
        <v>123</v>
      </c>
      <c r="W12" s="31" t="s">
        <v>123</v>
      </c>
      <c r="X12" s="32" t="s">
        <v>123</v>
      </c>
      <c r="Y12" s="31" t="s">
        <v>123</v>
      </c>
      <c r="Z12" s="32" t="s">
        <v>123</v>
      </c>
      <c r="AA12" s="31" t="s">
        <v>123</v>
      </c>
      <c r="AC12" s="17"/>
      <c r="AD12" s="17"/>
      <c r="AE12" s="29"/>
      <c r="AF12" s="17"/>
    </row>
    <row r="13" spans="1:32" ht="28.8">
      <c r="A13" s="6" t="s">
        <v>238</v>
      </c>
      <c r="B13" s="33" t="s">
        <v>27</v>
      </c>
      <c r="C13" s="34" t="s">
        <v>123</v>
      </c>
      <c r="D13" s="34" t="s">
        <v>123</v>
      </c>
      <c r="E13" s="34" t="s">
        <v>123</v>
      </c>
      <c r="F13" s="34" t="s">
        <v>123</v>
      </c>
      <c r="G13" s="34" t="s">
        <v>123</v>
      </c>
      <c r="H13" s="34" t="s">
        <v>123</v>
      </c>
      <c r="I13" s="34" t="s">
        <v>123</v>
      </c>
      <c r="J13" s="34" t="s">
        <v>123</v>
      </c>
      <c r="K13" s="34" t="s">
        <v>123</v>
      </c>
      <c r="L13" s="34" t="s">
        <v>123</v>
      </c>
      <c r="M13" s="34" t="s">
        <v>123</v>
      </c>
      <c r="N13" s="34" t="s">
        <v>123</v>
      </c>
      <c r="O13" s="34">
        <f t="shared" ref="O13:R13" si="5">SUM(O14:O15)</f>
        <v>11545</v>
      </c>
      <c r="P13" s="34">
        <f t="shared" si="5"/>
        <v>21249</v>
      </c>
      <c r="Q13" s="34">
        <f t="shared" si="5"/>
        <v>7658</v>
      </c>
      <c r="R13" s="34">
        <f t="shared" si="5"/>
        <v>37377</v>
      </c>
      <c r="S13" s="28">
        <v>17295</v>
      </c>
      <c r="T13" s="34">
        <f>SUM(T14:T15)</f>
        <v>4463</v>
      </c>
      <c r="U13" s="37">
        <v>7373</v>
      </c>
      <c r="V13" s="34">
        <v>17105</v>
      </c>
      <c r="W13" s="37">
        <f>W14+W15</f>
        <v>29261</v>
      </c>
      <c r="X13" s="34">
        <f>X14+X15</f>
        <v>-2643</v>
      </c>
      <c r="Y13" s="37">
        <v>9472</v>
      </c>
      <c r="Z13" s="34">
        <f>Z14+Z15</f>
        <v>48463</v>
      </c>
      <c r="AA13" s="37">
        <f>AA14+AA15</f>
        <v>174</v>
      </c>
      <c r="AC13" s="17"/>
      <c r="AD13" s="17"/>
      <c r="AE13" s="29"/>
      <c r="AF13" s="17"/>
    </row>
    <row r="14" spans="1:32" ht="19.2">
      <c r="A14" s="6" t="s">
        <v>239</v>
      </c>
      <c r="B14" s="35" t="s">
        <v>33</v>
      </c>
      <c r="C14" s="31" t="s">
        <v>123</v>
      </c>
      <c r="D14" s="32" t="s">
        <v>123</v>
      </c>
      <c r="E14" s="31" t="s">
        <v>123</v>
      </c>
      <c r="F14" s="32" t="s">
        <v>123</v>
      </c>
      <c r="G14" s="31" t="s">
        <v>123</v>
      </c>
      <c r="H14" s="32" t="s">
        <v>123</v>
      </c>
      <c r="I14" s="31" t="s">
        <v>123</v>
      </c>
      <c r="J14" s="32" t="s">
        <v>123</v>
      </c>
      <c r="K14" s="31" t="s">
        <v>123</v>
      </c>
      <c r="L14" s="32" t="s">
        <v>123</v>
      </c>
      <c r="M14" s="31" t="s">
        <v>123</v>
      </c>
      <c r="N14" s="32" t="s">
        <v>123</v>
      </c>
      <c r="O14" s="31">
        <v>11185</v>
      </c>
      <c r="P14" s="32">
        <v>20927</v>
      </c>
      <c r="Q14" s="31">
        <v>7320</v>
      </c>
      <c r="R14" s="32">
        <v>37041</v>
      </c>
      <c r="S14" s="27">
        <v>10423</v>
      </c>
      <c r="T14" s="32">
        <v>4277</v>
      </c>
      <c r="U14" s="31">
        <v>7000</v>
      </c>
      <c r="V14" s="32">
        <v>17107</v>
      </c>
      <c r="W14" s="31">
        <v>5547</v>
      </c>
      <c r="X14" s="32">
        <v>-2740</v>
      </c>
      <c r="Y14" s="31">
        <v>9409</v>
      </c>
      <c r="Z14" s="32">
        <v>48391</v>
      </c>
      <c r="AA14" s="31">
        <v>61</v>
      </c>
      <c r="AC14" s="17"/>
      <c r="AD14" s="17"/>
      <c r="AE14" s="29"/>
      <c r="AF14" s="17"/>
    </row>
    <row r="15" spans="1:32">
      <c r="A15" s="6" t="s">
        <v>240</v>
      </c>
      <c r="B15" s="35" t="s">
        <v>28</v>
      </c>
      <c r="C15" s="31" t="s">
        <v>123</v>
      </c>
      <c r="D15" s="32" t="s">
        <v>123</v>
      </c>
      <c r="E15" s="31" t="s">
        <v>123</v>
      </c>
      <c r="F15" s="32" t="s">
        <v>123</v>
      </c>
      <c r="G15" s="31" t="s">
        <v>123</v>
      </c>
      <c r="H15" s="32" t="s">
        <v>123</v>
      </c>
      <c r="I15" s="31" t="s">
        <v>123</v>
      </c>
      <c r="J15" s="32" t="s">
        <v>123</v>
      </c>
      <c r="K15" s="31" t="s">
        <v>123</v>
      </c>
      <c r="L15" s="32" t="s">
        <v>123</v>
      </c>
      <c r="M15" s="31" t="s">
        <v>123</v>
      </c>
      <c r="N15" s="32" t="s">
        <v>123</v>
      </c>
      <c r="O15" s="31">
        <v>360</v>
      </c>
      <c r="P15" s="32">
        <v>322</v>
      </c>
      <c r="Q15" s="31">
        <v>338</v>
      </c>
      <c r="R15" s="32">
        <v>336</v>
      </c>
      <c r="S15" s="27">
        <v>6872</v>
      </c>
      <c r="T15" s="32">
        <v>186</v>
      </c>
      <c r="U15" s="31">
        <v>373</v>
      </c>
      <c r="V15" s="32">
        <v>-2</v>
      </c>
      <c r="W15" s="31">
        <v>23714</v>
      </c>
      <c r="X15" s="32">
        <v>97</v>
      </c>
      <c r="Y15" s="31">
        <v>63</v>
      </c>
      <c r="Z15" s="32">
        <v>72</v>
      </c>
      <c r="AA15" s="31">
        <v>113</v>
      </c>
      <c r="AC15" s="17"/>
      <c r="AD15" s="17"/>
      <c r="AE15" s="29"/>
      <c r="AF15" s="17"/>
    </row>
    <row r="16" spans="1:32">
      <c r="A16" s="6" t="s">
        <v>241</v>
      </c>
      <c r="B16" s="35" t="s">
        <v>7</v>
      </c>
      <c r="C16" s="31">
        <v>19226</v>
      </c>
      <c r="D16" s="32">
        <v>31821</v>
      </c>
      <c r="E16" s="31">
        <v>17143</v>
      </c>
      <c r="F16" s="32">
        <v>13694</v>
      </c>
      <c r="G16" s="31">
        <v>15215</v>
      </c>
      <c r="H16" s="32">
        <v>18505</v>
      </c>
      <c r="I16" s="31">
        <v>16342</v>
      </c>
      <c r="J16" s="32">
        <v>63022</v>
      </c>
      <c r="K16" s="31">
        <v>32319</v>
      </c>
      <c r="L16" s="32">
        <v>28055</v>
      </c>
      <c r="M16" s="31">
        <v>27635</v>
      </c>
      <c r="N16" s="32">
        <v>24387</v>
      </c>
      <c r="O16" s="31">
        <v>48955</v>
      </c>
      <c r="P16" s="32">
        <v>25718</v>
      </c>
      <c r="Q16" s="31">
        <v>19887</v>
      </c>
      <c r="R16" s="32">
        <v>32485</v>
      </c>
      <c r="S16" s="27">
        <v>33437</v>
      </c>
      <c r="T16" s="32">
        <v>30783</v>
      </c>
      <c r="U16" s="31">
        <v>36407</v>
      </c>
      <c r="V16" s="32">
        <v>42839</v>
      </c>
      <c r="W16" s="31">
        <v>41615</v>
      </c>
      <c r="X16" s="32">
        <v>26601</v>
      </c>
      <c r="Y16" s="31">
        <v>31438</v>
      </c>
      <c r="Z16" s="32">
        <v>37385</v>
      </c>
      <c r="AA16" s="31">
        <v>47087</v>
      </c>
      <c r="AC16" s="17"/>
      <c r="AD16" s="17"/>
      <c r="AE16" s="29"/>
      <c r="AF16" s="17"/>
    </row>
    <row r="17" spans="1:32">
      <c r="A17" s="6" t="s">
        <v>242</v>
      </c>
      <c r="B17" s="35" t="s">
        <v>8</v>
      </c>
      <c r="C17" s="31">
        <v>-5813</v>
      </c>
      <c r="D17" s="32">
        <v>-21530</v>
      </c>
      <c r="E17" s="31">
        <v>-765</v>
      </c>
      <c r="F17" s="32">
        <v>-2120</v>
      </c>
      <c r="G17" s="31">
        <v>-4604</v>
      </c>
      <c r="H17" s="32">
        <v>-18458</v>
      </c>
      <c r="I17" s="31">
        <v>-13039</v>
      </c>
      <c r="J17" s="32">
        <v>-15964</v>
      </c>
      <c r="K17" s="31">
        <v>-15595</v>
      </c>
      <c r="L17" s="32">
        <v>-17066</v>
      </c>
      <c r="M17" s="31">
        <v>-22202</v>
      </c>
      <c r="N17" s="32">
        <v>-31052</v>
      </c>
      <c r="O17" s="31">
        <v>-20297</v>
      </c>
      <c r="P17" s="32">
        <v>-25884</v>
      </c>
      <c r="Q17" s="31">
        <v>-35837</v>
      </c>
      <c r="R17" s="32">
        <v>-59789</v>
      </c>
      <c r="S17" s="27">
        <v>-20944</v>
      </c>
      <c r="T17" s="32">
        <v>-27057</v>
      </c>
      <c r="U17" s="31">
        <v>-76931</v>
      </c>
      <c r="V17" s="32">
        <v>-220673</v>
      </c>
      <c r="W17" s="31">
        <v>-34194</v>
      </c>
      <c r="X17" s="32">
        <v>-124454</v>
      </c>
      <c r="Y17" s="31">
        <v>-20573</v>
      </c>
      <c r="Z17" s="32">
        <v>-61225</v>
      </c>
      <c r="AA17" s="31">
        <v>-22624</v>
      </c>
      <c r="AC17" s="17"/>
      <c r="AD17" s="17"/>
      <c r="AE17" s="29"/>
      <c r="AF17" s="17"/>
    </row>
    <row r="18" spans="1:32" ht="19.2">
      <c r="A18" s="6" t="s">
        <v>243</v>
      </c>
      <c r="B18" s="33" t="s">
        <v>9</v>
      </c>
      <c r="C18" s="34">
        <f t="shared" ref="C18:R18" si="6">SUM(C16:C17)</f>
        <v>13413</v>
      </c>
      <c r="D18" s="34">
        <f t="shared" si="6"/>
        <v>10291</v>
      </c>
      <c r="E18" s="34">
        <f t="shared" si="6"/>
        <v>16378</v>
      </c>
      <c r="F18" s="34">
        <f t="shared" si="6"/>
        <v>11574</v>
      </c>
      <c r="G18" s="34">
        <f t="shared" si="6"/>
        <v>10611</v>
      </c>
      <c r="H18" s="34">
        <f t="shared" si="6"/>
        <v>47</v>
      </c>
      <c r="I18" s="34">
        <f t="shared" si="6"/>
        <v>3303</v>
      </c>
      <c r="J18" s="34">
        <f t="shared" si="6"/>
        <v>47058</v>
      </c>
      <c r="K18" s="34">
        <f t="shared" si="6"/>
        <v>16724</v>
      </c>
      <c r="L18" s="34">
        <f t="shared" si="6"/>
        <v>10989</v>
      </c>
      <c r="M18" s="34">
        <f t="shared" si="6"/>
        <v>5433</v>
      </c>
      <c r="N18" s="34">
        <f t="shared" si="6"/>
        <v>-6665</v>
      </c>
      <c r="O18" s="34">
        <f t="shared" si="6"/>
        <v>28658</v>
      </c>
      <c r="P18" s="34">
        <f t="shared" si="6"/>
        <v>-166</v>
      </c>
      <c r="Q18" s="34">
        <f t="shared" si="6"/>
        <v>-15950</v>
      </c>
      <c r="R18" s="34">
        <f t="shared" si="6"/>
        <v>-27304</v>
      </c>
      <c r="S18" s="28">
        <v>12493</v>
      </c>
      <c r="T18" s="34">
        <f>SUM(T16:T17)</f>
        <v>3726</v>
      </c>
      <c r="U18" s="37">
        <f>U16+U17</f>
        <v>-40524</v>
      </c>
      <c r="V18" s="34">
        <v>-177834</v>
      </c>
      <c r="W18" s="37">
        <f>SUM(W16:W17)</f>
        <v>7421</v>
      </c>
      <c r="X18" s="34">
        <f>SUM(X16:X17)</f>
        <v>-97853</v>
      </c>
      <c r="Y18" s="37">
        <v>10865</v>
      </c>
      <c r="Z18" s="34">
        <f>SUM(Z16:Z17)</f>
        <v>-23840</v>
      </c>
      <c r="AA18" s="37">
        <f>SUM(AA16:AA17)</f>
        <v>24463</v>
      </c>
      <c r="AC18" s="17"/>
      <c r="AD18" s="17"/>
      <c r="AE18" s="29"/>
      <c r="AF18" s="17"/>
    </row>
    <row r="19" spans="1:32">
      <c r="A19" s="6" t="s">
        <v>251</v>
      </c>
      <c r="B19" s="35" t="s">
        <v>19</v>
      </c>
      <c r="C19" s="31">
        <v>0</v>
      </c>
      <c r="D19" s="32">
        <v>0</v>
      </c>
      <c r="E19" s="31">
        <v>0</v>
      </c>
      <c r="F19" s="32">
        <v>0</v>
      </c>
      <c r="G19" s="31">
        <v>0</v>
      </c>
      <c r="H19" s="32">
        <v>0</v>
      </c>
      <c r="I19" s="31">
        <v>0</v>
      </c>
      <c r="J19" s="32">
        <v>465005</v>
      </c>
      <c r="K19" s="31">
        <v>0</v>
      </c>
      <c r="L19" s="32">
        <v>0</v>
      </c>
      <c r="M19" s="31">
        <v>0</v>
      </c>
      <c r="N19" s="32">
        <v>0</v>
      </c>
      <c r="O19" s="31">
        <v>0</v>
      </c>
      <c r="P19" s="32">
        <v>0</v>
      </c>
      <c r="Q19" s="31">
        <v>0</v>
      </c>
      <c r="R19" s="32">
        <v>0</v>
      </c>
      <c r="S19" s="27">
        <v>0</v>
      </c>
      <c r="T19" s="32">
        <v>0</v>
      </c>
      <c r="U19" s="31">
        <v>0</v>
      </c>
      <c r="V19" s="32">
        <v>0</v>
      </c>
      <c r="W19" s="31">
        <v>0</v>
      </c>
      <c r="X19" s="32">
        <v>0</v>
      </c>
      <c r="Y19" s="31">
        <v>0</v>
      </c>
      <c r="Z19" s="32">
        <v>0</v>
      </c>
      <c r="AA19" s="31">
        <v>0</v>
      </c>
      <c r="AC19" s="17"/>
      <c r="AD19" s="17"/>
      <c r="AE19" s="29"/>
      <c r="AF19" s="17"/>
    </row>
    <row r="20" spans="1:32">
      <c r="A20" s="6" t="s">
        <v>244</v>
      </c>
      <c r="B20" s="35" t="s">
        <v>360</v>
      </c>
      <c r="C20" s="31">
        <v>-257858</v>
      </c>
      <c r="D20" s="32">
        <v>-262534</v>
      </c>
      <c r="E20" s="31">
        <v>-262421</v>
      </c>
      <c r="F20" s="32">
        <v>-325079</v>
      </c>
      <c r="G20" s="31">
        <v>-276614</v>
      </c>
      <c r="H20" s="32">
        <v>-287215</v>
      </c>
      <c r="I20" s="31">
        <v>-297109</v>
      </c>
      <c r="J20" s="32">
        <v>-705622</v>
      </c>
      <c r="K20" s="31">
        <v>-498903</v>
      </c>
      <c r="L20" s="32">
        <v>-503156</v>
      </c>
      <c r="M20" s="31">
        <v>-401139</v>
      </c>
      <c r="N20" s="32">
        <v>-450379</v>
      </c>
      <c r="O20" s="31">
        <v>-456093</v>
      </c>
      <c r="P20" s="32">
        <v>-430160</v>
      </c>
      <c r="Q20" s="31">
        <v>-411309</v>
      </c>
      <c r="R20" s="32">
        <v>-407441</v>
      </c>
      <c r="S20" s="27">
        <v>-512397</v>
      </c>
      <c r="T20" s="32">
        <v>-393558</v>
      </c>
      <c r="U20" s="31">
        <v>-371987</v>
      </c>
      <c r="V20" s="32">
        <v>-352162</v>
      </c>
      <c r="W20" s="31">
        <v>-481591</v>
      </c>
      <c r="X20" s="32">
        <v>-394980</v>
      </c>
      <c r="Y20" s="31">
        <v>-407800</v>
      </c>
      <c r="Z20" s="32">
        <v>-380471</v>
      </c>
      <c r="AA20" s="31">
        <v>-417941</v>
      </c>
      <c r="AC20" s="17"/>
      <c r="AD20" s="17"/>
      <c r="AE20" s="29"/>
      <c r="AF20" s="17"/>
    </row>
    <row r="21" spans="1:32">
      <c r="A21" s="6" t="s">
        <v>388</v>
      </c>
      <c r="B21" s="35" t="s">
        <v>391</v>
      </c>
      <c r="C21" s="31">
        <v>-142455</v>
      </c>
      <c r="D21" s="32">
        <v>-153552</v>
      </c>
      <c r="E21" s="31">
        <v>-173557</v>
      </c>
      <c r="F21" s="32">
        <v>-190181</v>
      </c>
      <c r="G21" s="31">
        <v>-172293</v>
      </c>
      <c r="H21" s="32">
        <v>-164322</v>
      </c>
      <c r="I21" s="31">
        <v>-196637</v>
      </c>
      <c r="J21" s="32">
        <v>-243920</v>
      </c>
      <c r="K21" s="31">
        <v>-207995</v>
      </c>
      <c r="L21" s="32">
        <v>-248717</v>
      </c>
      <c r="M21" s="31">
        <v>-207353</v>
      </c>
      <c r="N21" s="32">
        <v>-225144</v>
      </c>
      <c r="O21" s="31">
        <v>-242992</v>
      </c>
      <c r="P21" s="32">
        <v>-237598</v>
      </c>
      <c r="Q21" s="31">
        <v>-272157</v>
      </c>
      <c r="R21" s="32">
        <v>-295071</v>
      </c>
      <c r="S21" s="27">
        <v>-272962</v>
      </c>
      <c r="T21" s="32">
        <v>-502540</v>
      </c>
      <c r="U21" s="31">
        <v>-324781</v>
      </c>
      <c r="V21" s="32">
        <v>-336875</v>
      </c>
      <c r="W21" s="31">
        <v>-296153</v>
      </c>
      <c r="X21" s="32">
        <v>-915146</v>
      </c>
      <c r="Y21" s="31">
        <v>-289343</v>
      </c>
      <c r="Z21" s="32">
        <v>-232829</v>
      </c>
      <c r="AA21" s="31">
        <v>-243485</v>
      </c>
      <c r="AC21" s="17"/>
      <c r="AD21" s="17"/>
      <c r="AE21" s="29"/>
      <c r="AF21" s="17"/>
    </row>
    <row r="22" spans="1:32">
      <c r="A22" s="6" t="s">
        <v>390</v>
      </c>
      <c r="B22" s="35" t="s">
        <v>389</v>
      </c>
      <c r="C22" s="31">
        <v>-2201</v>
      </c>
      <c r="D22" s="32">
        <v>-5931</v>
      </c>
      <c r="E22" s="31">
        <v>470</v>
      </c>
      <c r="F22" s="32">
        <v>-4706</v>
      </c>
      <c r="G22" s="31">
        <v>-3452</v>
      </c>
      <c r="H22" s="32">
        <v>-8790</v>
      </c>
      <c r="I22" s="31">
        <v>-2369</v>
      </c>
      <c r="J22" s="32">
        <v>-8104</v>
      </c>
      <c r="K22" s="31">
        <v>-3621</v>
      </c>
      <c r="L22" s="32">
        <v>-7366</v>
      </c>
      <c r="M22" s="31">
        <v>-4606</v>
      </c>
      <c r="N22" s="32">
        <v>-10128</v>
      </c>
      <c r="O22" s="31">
        <v>-1756</v>
      </c>
      <c r="P22" s="32">
        <v>-477</v>
      </c>
      <c r="Q22" s="31">
        <v>-1033</v>
      </c>
      <c r="R22" s="32">
        <v>-2985</v>
      </c>
      <c r="S22" s="27">
        <v>-1644</v>
      </c>
      <c r="T22" s="32">
        <v>-105</v>
      </c>
      <c r="U22" s="31">
        <v>-7</v>
      </c>
      <c r="V22" s="32">
        <v>-4190</v>
      </c>
      <c r="W22" s="31">
        <v>1307</v>
      </c>
      <c r="X22" s="32">
        <v>-69897</v>
      </c>
      <c r="Y22" s="31">
        <v>-1802</v>
      </c>
      <c r="Z22" s="32">
        <v>-62430</v>
      </c>
      <c r="AA22" s="31">
        <v>-477</v>
      </c>
      <c r="AC22" s="17"/>
      <c r="AD22" s="17"/>
      <c r="AE22" s="29"/>
      <c r="AF22" s="17"/>
    </row>
    <row r="23" spans="1:32">
      <c r="A23" s="6" t="s">
        <v>245</v>
      </c>
      <c r="B23" s="35" t="s">
        <v>13</v>
      </c>
      <c r="C23" s="31">
        <v>0</v>
      </c>
      <c r="D23" s="32">
        <v>0</v>
      </c>
      <c r="E23" s="31">
        <v>0</v>
      </c>
      <c r="F23" s="32">
        <v>0</v>
      </c>
      <c r="G23" s="31">
        <v>-20673</v>
      </c>
      <c r="H23" s="32">
        <v>-32257</v>
      </c>
      <c r="I23" s="31">
        <v>-34680</v>
      </c>
      <c r="J23" s="32">
        <v>-43283</v>
      </c>
      <c r="K23" s="31">
        <v>-49527</v>
      </c>
      <c r="L23" s="32">
        <v>-49201</v>
      </c>
      <c r="M23" s="31">
        <v>-50647</v>
      </c>
      <c r="N23" s="32">
        <v>-51142</v>
      </c>
      <c r="O23" s="31">
        <v>-49890</v>
      </c>
      <c r="P23" s="32">
        <v>-53011</v>
      </c>
      <c r="Q23" s="31">
        <v>-52270</v>
      </c>
      <c r="R23" s="32">
        <v>-53015</v>
      </c>
      <c r="S23" s="27">
        <v>-54232</v>
      </c>
      <c r="T23" s="32">
        <v>-55969</v>
      </c>
      <c r="U23" s="31">
        <v>-59005</v>
      </c>
      <c r="V23" s="32">
        <v>-56768</v>
      </c>
      <c r="W23" s="31">
        <v>-54118</v>
      </c>
      <c r="X23" s="32">
        <v>-55771</v>
      </c>
      <c r="Y23" s="31">
        <v>-55329</v>
      </c>
      <c r="Z23" s="32">
        <v>-55585</v>
      </c>
      <c r="AA23" s="31">
        <v>-58615</v>
      </c>
      <c r="AC23" s="17"/>
      <c r="AD23" s="17"/>
      <c r="AE23" s="29"/>
      <c r="AF23" s="17"/>
    </row>
    <row r="24" spans="1:32">
      <c r="A24" s="6" t="s">
        <v>246</v>
      </c>
      <c r="B24" s="33" t="s">
        <v>383</v>
      </c>
      <c r="C24" s="34">
        <f>C6+C9+C10+C18+C20+C21+C23+C11+C12+C22</f>
        <v>117226</v>
      </c>
      <c r="D24" s="34">
        <f t="shared" ref="D24:H24" si="7">D6+D9+D10+D18+D20+D21+D23+D11+D12+D22</f>
        <v>102973</v>
      </c>
      <c r="E24" s="34">
        <f t="shared" si="7"/>
        <v>114900</v>
      </c>
      <c r="F24" s="34">
        <f t="shared" si="7"/>
        <v>50909</v>
      </c>
      <c r="G24" s="34">
        <f t="shared" si="7"/>
        <v>106261</v>
      </c>
      <c r="H24" s="34">
        <f t="shared" si="7"/>
        <v>110803</v>
      </c>
      <c r="I24" s="34">
        <f t="shared" ref="I24" si="8">I6+I9+I10+I18+I20+I21+I23+I11+I12+I22</f>
        <v>117587</v>
      </c>
      <c r="J24" s="34">
        <f>J6+J9+J10+J18+J20+J21+J23+J11+J12+J22+J19</f>
        <v>313712</v>
      </c>
      <c r="K24" s="34">
        <f t="shared" ref="K24" si="9">K6+K9+K10+K18+K20+K21+K23+K11+K12+K22</f>
        <v>96735</v>
      </c>
      <c r="L24" s="34">
        <f t="shared" ref="L24" si="10">L6+L9+L10+L18+L20+L21+L23+L11+L12+L22</f>
        <v>128201</v>
      </c>
      <c r="M24" s="34">
        <f t="shared" ref="M24" si="11">M6+M9+M10+M18+M20+M21+M23+M11+M12+M22</f>
        <v>256849</v>
      </c>
      <c r="N24" s="34">
        <f>N6+N9+N10+N18+N20+N21+N23+N11+N12+N22</f>
        <v>207336</v>
      </c>
      <c r="O24" s="34">
        <f>O6+O9+O10+O18+O20+O21+O23+O11+O13+O22</f>
        <v>213988</v>
      </c>
      <c r="P24" s="34">
        <f>P6+P9+P10+P18+P20+P21+P23+P11+P13+P22</f>
        <v>276842</v>
      </c>
      <c r="Q24" s="34">
        <f t="shared" ref="Q24:S24" si="12">Q6+Q9+Q10+Q18+Q20+Q21+Q23+Q11+Q13+Q22</f>
        <v>244958</v>
      </c>
      <c r="R24" s="34">
        <f t="shared" si="12"/>
        <v>252503</v>
      </c>
      <c r="S24" s="34">
        <f t="shared" si="12"/>
        <v>184910</v>
      </c>
      <c r="T24" s="34">
        <f t="shared" ref="T24" si="13">T6+T9+T10+T18+T20+T21+T23+T11+T13+T22</f>
        <v>52755</v>
      </c>
      <c r="U24" s="34">
        <f t="shared" ref="U24" si="14">U6+U9+U10+U18+U20+U21+U23+U11+U13+U22</f>
        <v>199271</v>
      </c>
      <c r="V24" s="34">
        <f t="shared" ref="V24" si="15">V6+V9+V10+V18+V20+V21+V23+V11+V13+V22</f>
        <v>53843</v>
      </c>
      <c r="W24" s="34">
        <f t="shared" ref="W24" si="16">W6+W9+W10+W18+W20+W21+W23+W11+W13+W22</f>
        <v>119635</v>
      </c>
      <c r="X24" s="34">
        <f t="shared" ref="X24" si="17">X6+X9+X10+X18+X20+X21+X23+X11+X13+X22</f>
        <v>-644614</v>
      </c>
      <c r="Y24" s="34">
        <f t="shared" ref="Y24" si="18">Y6+Y9+Y10+Y18+Y20+Y21+Y23+Y11+Y13+Y22</f>
        <v>138396</v>
      </c>
      <c r="Z24" s="34">
        <f t="shared" ref="Z24:AA24" si="19">Z6+Z9+Z10+Z18+Z20+Z21+Z23+Z11+Z13+Z22</f>
        <v>180133</v>
      </c>
      <c r="AA24" s="34">
        <f t="shared" si="19"/>
        <v>170844</v>
      </c>
      <c r="AC24" s="17"/>
      <c r="AD24" s="17"/>
      <c r="AE24" s="29"/>
      <c r="AF24" s="17"/>
    </row>
    <row r="25" spans="1:32">
      <c r="A25" s="6" t="s">
        <v>247</v>
      </c>
      <c r="B25" s="30" t="s">
        <v>10</v>
      </c>
      <c r="C25" s="36">
        <v>-25747</v>
      </c>
      <c r="D25" s="36">
        <v>-15770</v>
      </c>
      <c r="E25" s="36">
        <v>-24012</v>
      </c>
      <c r="F25" s="36">
        <v>-11504</v>
      </c>
      <c r="G25" s="36">
        <v>-26159</v>
      </c>
      <c r="H25" s="36">
        <v>-29169</v>
      </c>
      <c r="I25" s="36">
        <v>-30650</v>
      </c>
      <c r="J25" s="36">
        <v>12641</v>
      </c>
      <c r="K25" s="36">
        <v>-34566</v>
      </c>
      <c r="L25" s="36">
        <v>-28411</v>
      </c>
      <c r="M25" s="36">
        <v>-78584</v>
      </c>
      <c r="N25" s="36">
        <v>-75990</v>
      </c>
      <c r="O25" s="36">
        <v>-59526</v>
      </c>
      <c r="P25" s="36">
        <v>-77011</v>
      </c>
      <c r="Q25" s="36">
        <v>-68141</v>
      </c>
      <c r="R25" s="36">
        <v>-70240</v>
      </c>
      <c r="S25" s="36">
        <v>-81421</v>
      </c>
      <c r="T25" s="36">
        <v>-62167</v>
      </c>
      <c r="U25" s="36">
        <v>-56672</v>
      </c>
      <c r="V25" s="36">
        <v>-41342</v>
      </c>
      <c r="W25" s="36">
        <v>-47504</v>
      </c>
      <c r="X25" s="36">
        <v>62168</v>
      </c>
      <c r="Y25" s="36">
        <v>-47735</v>
      </c>
      <c r="Z25" s="36">
        <v>-71712</v>
      </c>
      <c r="AA25" s="36">
        <v>-62750</v>
      </c>
      <c r="AC25" s="17"/>
      <c r="AD25" s="17"/>
      <c r="AE25" s="29"/>
      <c r="AF25" s="17"/>
    </row>
    <row r="26" spans="1:32">
      <c r="A26" s="6" t="s">
        <v>366</v>
      </c>
      <c r="B26" s="72" t="s">
        <v>367</v>
      </c>
      <c r="C26" s="36">
        <f>C24+C25</f>
        <v>91479</v>
      </c>
      <c r="D26" s="36">
        <f t="shared" ref="D26:Y26" si="20">D24+D25</f>
        <v>87203</v>
      </c>
      <c r="E26" s="36">
        <f t="shared" si="20"/>
        <v>90888</v>
      </c>
      <c r="F26" s="36">
        <f t="shared" si="20"/>
        <v>39405</v>
      </c>
      <c r="G26" s="36">
        <f t="shared" si="20"/>
        <v>80102</v>
      </c>
      <c r="H26" s="36">
        <f t="shared" si="20"/>
        <v>81634</v>
      </c>
      <c r="I26" s="36">
        <f t="shared" si="20"/>
        <v>86937</v>
      </c>
      <c r="J26" s="36">
        <f t="shared" si="20"/>
        <v>326353</v>
      </c>
      <c r="K26" s="36">
        <f t="shared" si="20"/>
        <v>62169</v>
      </c>
      <c r="L26" s="36">
        <f t="shared" si="20"/>
        <v>99790</v>
      </c>
      <c r="M26" s="36">
        <f t="shared" si="20"/>
        <v>178265</v>
      </c>
      <c r="N26" s="36">
        <f t="shared" si="20"/>
        <v>131346</v>
      </c>
      <c r="O26" s="36">
        <f t="shared" si="20"/>
        <v>154462</v>
      </c>
      <c r="P26" s="36">
        <f t="shared" si="20"/>
        <v>199831</v>
      </c>
      <c r="Q26" s="36">
        <f t="shared" si="20"/>
        <v>176817</v>
      </c>
      <c r="R26" s="36">
        <f t="shared" si="20"/>
        <v>182263</v>
      </c>
      <c r="S26" s="36">
        <f t="shared" si="20"/>
        <v>103489</v>
      </c>
      <c r="T26" s="36">
        <f t="shared" ref="T26" si="21">T24+T25</f>
        <v>-9412</v>
      </c>
      <c r="U26" s="36">
        <f t="shared" ref="U26" si="22">U24+U25</f>
        <v>142599</v>
      </c>
      <c r="V26" s="36">
        <f t="shared" ref="V26" si="23">V24+V25</f>
        <v>12501</v>
      </c>
      <c r="W26" s="36">
        <f t="shared" si="20"/>
        <v>72131</v>
      </c>
      <c r="X26" s="36">
        <f t="shared" si="20"/>
        <v>-582446</v>
      </c>
      <c r="Y26" s="36">
        <f t="shared" si="20"/>
        <v>90661</v>
      </c>
      <c r="Z26" s="36">
        <v>108421</v>
      </c>
      <c r="AA26" s="36">
        <v>108094</v>
      </c>
      <c r="AC26" s="17"/>
      <c r="AD26" s="17"/>
      <c r="AE26" s="29"/>
      <c r="AF26" s="17"/>
    </row>
    <row r="27" spans="1:32">
      <c r="A27" s="6" t="s">
        <v>368</v>
      </c>
      <c r="B27" s="30" t="s">
        <v>369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>
        <v>0</v>
      </c>
      <c r="X27" s="36">
        <v>-3052</v>
      </c>
      <c r="Y27" s="36">
        <v>-8875</v>
      </c>
      <c r="Z27" s="36">
        <v>11927</v>
      </c>
      <c r="AA27" s="36">
        <v>0</v>
      </c>
      <c r="AC27" s="17"/>
      <c r="AD27" s="17"/>
      <c r="AE27" s="29"/>
      <c r="AF27" s="17"/>
    </row>
    <row r="28" spans="1:32">
      <c r="A28" s="6" t="s">
        <v>248</v>
      </c>
      <c r="B28" s="33" t="s">
        <v>384</v>
      </c>
      <c r="C28" s="37">
        <f t="shared" ref="C28:R28" si="24">C24+C25</f>
        <v>91479</v>
      </c>
      <c r="D28" s="34">
        <f t="shared" si="24"/>
        <v>87203</v>
      </c>
      <c r="E28" s="37">
        <f t="shared" si="24"/>
        <v>90888</v>
      </c>
      <c r="F28" s="34">
        <f t="shared" si="24"/>
        <v>39405</v>
      </c>
      <c r="G28" s="37">
        <f t="shared" si="24"/>
        <v>80102</v>
      </c>
      <c r="H28" s="34">
        <f t="shared" si="24"/>
        <v>81634</v>
      </c>
      <c r="I28" s="37">
        <f t="shared" si="24"/>
        <v>86937</v>
      </c>
      <c r="J28" s="34">
        <f t="shared" si="24"/>
        <v>326353</v>
      </c>
      <c r="K28" s="37">
        <f t="shared" si="24"/>
        <v>62169</v>
      </c>
      <c r="L28" s="34">
        <f t="shared" si="24"/>
        <v>99790</v>
      </c>
      <c r="M28" s="37">
        <f t="shared" si="24"/>
        <v>178265</v>
      </c>
      <c r="N28" s="34">
        <f t="shared" si="24"/>
        <v>131346</v>
      </c>
      <c r="O28" s="37">
        <f t="shared" si="24"/>
        <v>154462</v>
      </c>
      <c r="P28" s="34">
        <f>P24+P25</f>
        <v>199831</v>
      </c>
      <c r="Q28" s="37">
        <f t="shared" si="24"/>
        <v>176817</v>
      </c>
      <c r="R28" s="34">
        <f t="shared" si="24"/>
        <v>182263</v>
      </c>
      <c r="S28" s="34">
        <v>103489</v>
      </c>
      <c r="T28" s="34">
        <f>T24+T25</f>
        <v>-9412</v>
      </c>
      <c r="U28" s="37">
        <f>SUM(U24:U25)</f>
        <v>142599</v>
      </c>
      <c r="V28" s="37">
        <f t="shared" ref="V28" si="25">SUM(V24:V25)</f>
        <v>12501</v>
      </c>
      <c r="W28" s="37">
        <f>W26+W27</f>
        <v>72131</v>
      </c>
      <c r="X28" s="37">
        <f>X26+X27</f>
        <v>-585498</v>
      </c>
      <c r="Y28" s="37">
        <v>81786</v>
      </c>
      <c r="Z28" s="37">
        <f>Z26+Z27</f>
        <v>120348</v>
      </c>
      <c r="AA28" s="37">
        <f>AA26+AA27</f>
        <v>108094</v>
      </c>
      <c r="AC28" s="17"/>
      <c r="AD28" s="17"/>
      <c r="AE28" s="29"/>
      <c r="AF28" s="17"/>
    </row>
    <row r="29" spans="1:32">
      <c r="A29" s="6" t="s">
        <v>249</v>
      </c>
      <c r="B29" s="6" t="s">
        <v>121</v>
      </c>
      <c r="C29" s="17">
        <v>91224</v>
      </c>
      <c r="D29" s="17">
        <v>87811</v>
      </c>
      <c r="E29" s="17">
        <v>90987</v>
      </c>
      <c r="F29" s="17">
        <v>39626</v>
      </c>
      <c r="G29" s="17">
        <v>80227</v>
      </c>
      <c r="H29" s="17">
        <v>81661</v>
      </c>
      <c r="I29" s="17">
        <v>86939</v>
      </c>
      <c r="J29" s="17">
        <v>326400</v>
      </c>
      <c r="K29" s="17">
        <v>62125</v>
      </c>
      <c r="L29" s="17">
        <v>99761</v>
      </c>
      <c r="M29" s="17">
        <v>178175</v>
      </c>
      <c r="N29" s="17">
        <v>131133</v>
      </c>
      <c r="O29" s="17">
        <v>154460</v>
      </c>
      <c r="P29" s="17">
        <v>199833</v>
      </c>
      <c r="Q29" s="17">
        <f t="shared" ref="Q29:T29" si="26">Q28</f>
        <v>176817</v>
      </c>
      <c r="R29" s="17">
        <f t="shared" si="26"/>
        <v>182263</v>
      </c>
      <c r="S29" s="17">
        <f t="shared" si="26"/>
        <v>103489</v>
      </c>
      <c r="T29" s="17">
        <f t="shared" si="26"/>
        <v>-9412</v>
      </c>
      <c r="U29" s="17">
        <f t="shared" ref="U29:Z29" si="27">U28</f>
        <v>142599</v>
      </c>
      <c r="V29" s="17">
        <f t="shared" si="27"/>
        <v>12501</v>
      </c>
      <c r="W29" s="17">
        <f t="shared" si="27"/>
        <v>72131</v>
      </c>
      <c r="X29" s="17">
        <f t="shared" si="27"/>
        <v>-585498</v>
      </c>
      <c r="Y29" s="17">
        <f t="shared" si="27"/>
        <v>81786</v>
      </c>
      <c r="Z29" s="17">
        <f t="shared" si="27"/>
        <v>120348</v>
      </c>
      <c r="AA29" s="17">
        <v>108094</v>
      </c>
      <c r="AC29" s="17"/>
      <c r="AD29" s="17"/>
      <c r="AE29" s="29"/>
      <c r="AF29" s="17"/>
    </row>
    <row r="30" spans="1:32">
      <c r="A30" s="6" t="s">
        <v>250</v>
      </c>
      <c r="B30" s="6" t="s">
        <v>122</v>
      </c>
      <c r="C30" s="17">
        <v>255</v>
      </c>
      <c r="D30" s="17">
        <v>-608</v>
      </c>
      <c r="E30" s="17">
        <v>-99</v>
      </c>
      <c r="F30" s="17">
        <v>-221</v>
      </c>
      <c r="G30" s="17">
        <v>-125</v>
      </c>
      <c r="H30" s="17">
        <v>-27</v>
      </c>
      <c r="I30" s="17">
        <v>-2</v>
      </c>
      <c r="J30" s="17">
        <v>-47</v>
      </c>
      <c r="K30" s="17">
        <v>44</v>
      </c>
      <c r="L30" s="17">
        <v>29</v>
      </c>
      <c r="M30" s="17">
        <v>90</v>
      </c>
      <c r="N30" s="17">
        <v>213</v>
      </c>
      <c r="O30" s="17">
        <v>2</v>
      </c>
      <c r="P30" s="17">
        <v>-2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C30" s="17"/>
      <c r="AD30" s="17"/>
      <c r="AE30" s="29"/>
      <c r="AF30" s="17"/>
    </row>
    <row r="31" spans="1:32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C31" s="17"/>
      <c r="AD31" s="17"/>
      <c r="AE31" s="29"/>
      <c r="AF31" s="17"/>
    </row>
    <row r="32" spans="1:32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3:26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3:26">
      <c r="J34" s="17"/>
      <c r="K34" s="17"/>
      <c r="N34" s="6"/>
      <c r="O34" s="17"/>
      <c r="Q34" s="6"/>
      <c r="R34" s="6"/>
      <c r="S34" s="6"/>
      <c r="T34" s="6"/>
      <c r="U34" s="6"/>
      <c r="V34" s="6"/>
      <c r="W34" s="6"/>
      <c r="X34" s="6"/>
      <c r="Y34" s="6"/>
      <c r="Z34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G119"/>
  <sheetViews>
    <sheetView zoomScale="90" zoomScaleNormal="90" workbookViewId="0">
      <pane xSplit="2" topLeftCell="V1" activePane="topRight" state="frozen"/>
      <selection pane="topRight"/>
    </sheetView>
  </sheetViews>
  <sheetFormatPr defaultRowHeight="10.199999999999999"/>
  <cols>
    <col min="1" max="1" width="23" style="4" customWidth="1"/>
    <col min="2" max="2" width="39.42578125" customWidth="1"/>
    <col min="3" max="6" width="8.85546875" bestFit="1" customWidth="1"/>
    <col min="7" max="7" width="8.85546875" style="1" bestFit="1" customWidth="1"/>
    <col min="8" max="9" width="8.85546875" bestFit="1" customWidth="1"/>
    <col min="10" max="10" width="8.85546875" style="1" bestFit="1" customWidth="1"/>
    <col min="11" max="21" width="8.85546875" bestFit="1" customWidth="1"/>
    <col min="22" max="27" width="13.140625" customWidth="1"/>
    <col min="30" max="30" width="10.42578125" customWidth="1"/>
    <col min="33" max="33" width="10.28515625" bestFit="1" customWidth="1"/>
  </cols>
  <sheetData>
    <row r="1" spans="1:33" ht="10.8" thickBo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33" ht="19.8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</row>
    <row r="3" spans="1:33" s="6" customFormat="1" thickBot="1">
      <c r="A3" s="6" t="s">
        <v>229</v>
      </c>
      <c r="B3" s="39" t="s">
        <v>0</v>
      </c>
      <c r="C3" s="40">
        <f t="shared" ref="C3:N3" si="0">SUM(C4:C18)</f>
        <v>556125</v>
      </c>
      <c r="D3" s="40">
        <f t="shared" si="0"/>
        <v>596336</v>
      </c>
      <c r="E3" s="40">
        <f t="shared" si="0"/>
        <v>614421</v>
      </c>
      <c r="F3" s="40">
        <f t="shared" si="0"/>
        <v>632338</v>
      </c>
      <c r="G3" s="40">
        <f t="shared" si="0"/>
        <v>578002</v>
      </c>
      <c r="H3" s="40">
        <f t="shared" si="0"/>
        <v>614131</v>
      </c>
      <c r="I3" s="40">
        <f t="shared" si="0"/>
        <v>655890</v>
      </c>
      <c r="J3" s="40">
        <f t="shared" si="0"/>
        <v>795858</v>
      </c>
      <c r="K3" s="40">
        <f t="shared" si="0"/>
        <v>867326</v>
      </c>
      <c r="L3" s="40">
        <f t="shared" si="0"/>
        <v>892704</v>
      </c>
      <c r="M3" s="40">
        <f t="shared" si="0"/>
        <v>903610</v>
      </c>
      <c r="N3" s="40">
        <f t="shared" si="0"/>
        <v>937491</v>
      </c>
      <c r="O3" s="40">
        <f t="shared" ref="O3:S3" si="1">SUM(O4:O17)</f>
        <v>912897</v>
      </c>
      <c r="P3" s="40">
        <f t="shared" si="1"/>
        <v>939599</v>
      </c>
      <c r="Q3" s="40">
        <f t="shared" si="1"/>
        <v>957980</v>
      </c>
      <c r="R3" s="40">
        <f t="shared" si="1"/>
        <v>982068</v>
      </c>
      <c r="S3" s="40">
        <f t="shared" si="1"/>
        <v>986612</v>
      </c>
      <c r="T3" s="40">
        <f>SUM(T4:T17)-T7</f>
        <v>1010905</v>
      </c>
      <c r="U3" s="40">
        <f t="shared" ref="U3:Z3" si="2">U4+U5+U9+U10+U11+U12+U14+U15+U16+U17</f>
        <v>985175</v>
      </c>
      <c r="V3" s="40">
        <f t="shared" si="2"/>
        <v>925294</v>
      </c>
      <c r="W3" s="40">
        <f t="shared" si="2"/>
        <v>937951</v>
      </c>
      <c r="X3" s="40">
        <f t="shared" si="2"/>
        <v>821385</v>
      </c>
      <c r="Y3" s="40">
        <f t="shared" si="2"/>
        <v>726585</v>
      </c>
      <c r="Z3" s="40">
        <f t="shared" si="2"/>
        <v>675492</v>
      </c>
      <c r="AA3" s="40">
        <f t="shared" ref="AA3" si="3">AA4+AA5+AA9+AA10+AA11+AA12+AA14+AA15+AA16+AA17</f>
        <v>682536</v>
      </c>
      <c r="AB3" s="17"/>
      <c r="AD3" s="17"/>
      <c r="AE3" s="17"/>
      <c r="AG3" s="29"/>
    </row>
    <row r="4" spans="1:33" s="6" customFormat="1" ht="9.6">
      <c r="A4" s="6" t="s">
        <v>253</v>
      </c>
      <c r="B4" s="13" t="s">
        <v>85</v>
      </c>
      <c r="C4" s="77">
        <v>101</v>
      </c>
      <c r="D4" s="77">
        <v>-101</v>
      </c>
      <c r="E4" s="77">
        <v>0</v>
      </c>
      <c r="F4" s="77">
        <v>241</v>
      </c>
      <c r="G4" s="77">
        <v>347</v>
      </c>
      <c r="H4" s="77">
        <v>481</v>
      </c>
      <c r="I4" s="77">
        <v>478</v>
      </c>
      <c r="J4" s="77">
        <v>215</v>
      </c>
      <c r="K4" s="77">
        <v>277</v>
      </c>
      <c r="L4" s="77">
        <v>272</v>
      </c>
      <c r="M4" s="77">
        <v>274</v>
      </c>
      <c r="N4" s="77">
        <v>241</v>
      </c>
      <c r="O4" s="77">
        <v>151</v>
      </c>
      <c r="P4" s="77">
        <v>140</v>
      </c>
      <c r="Q4" s="77">
        <v>163</v>
      </c>
      <c r="R4" s="77">
        <v>200</v>
      </c>
      <c r="S4" s="77">
        <v>105</v>
      </c>
      <c r="T4" s="77">
        <v>189</v>
      </c>
      <c r="U4" s="77">
        <v>90</v>
      </c>
      <c r="V4" s="77">
        <v>387</v>
      </c>
      <c r="W4" s="77">
        <v>78</v>
      </c>
      <c r="X4" s="77">
        <v>235</v>
      </c>
      <c r="Y4" s="77">
        <v>45</v>
      </c>
      <c r="Z4" s="77">
        <v>3</v>
      </c>
      <c r="AA4" s="77">
        <v>16</v>
      </c>
      <c r="AB4" s="17"/>
      <c r="AD4" s="17"/>
      <c r="AE4" s="17"/>
      <c r="AG4" s="29"/>
    </row>
    <row r="5" spans="1:33" s="6" customFormat="1" ht="9.6">
      <c r="A5" s="6" t="s">
        <v>254</v>
      </c>
      <c r="B5" s="13" t="s">
        <v>362</v>
      </c>
      <c r="C5" s="77">
        <v>424926</v>
      </c>
      <c r="D5" s="77">
        <v>454141</v>
      </c>
      <c r="E5" s="77">
        <v>474148</v>
      </c>
      <c r="F5" s="77">
        <v>494257</v>
      </c>
      <c r="G5" s="77">
        <v>509437</v>
      </c>
      <c r="H5" s="77">
        <v>539362</v>
      </c>
      <c r="I5" s="77">
        <v>580121</v>
      </c>
      <c r="J5" s="77">
        <v>695483</v>
      </c>
      <c r="K5" s="77">
        <v>742880</v>
      </c>
      <c r="L5" s="77">
        <v>800333</v>
      </c>
      <c r="M5" s="77">
        <v>810003</v>
      </c>
      <c r="N5" s="77">
        <v>823090</v>
      </c>
      <c r="O5" s="77">
        <v>810757</v>
      </c>
      <c r="P5" s="77">
        <v>850839</v>
      </c>
      <c r="Q5" s="77">
        <v>856293</v>
      </c>
      <c r="R5" s="77">
        <v>874567</v>
      </c>
      <c r="S5" s="77">
        <v>864254</v>
      </c>
      <c r="T5" s="77">
        <v>892781</v>
      </c>
      <c r="U5" s="77">
        <v>861592</v>
      </c>
      <c r="V5" s="77">
        <v>788098</v>
      </c>
      <c r="W5" s="77">
        <v>809522</v>
      </c>
      <c r="X5" s="77">
        <v>704698</v>
      </c>
      <c r="Y5" s="77">
        <v>634812</v>
      </c>
      <c r="Z5" s="77">
        <v>599211</v>
      </c>
      <c r="AA5" s="77">
        <v>608110</v>
      </c>
      <c r="AB5" s="17"/>
      <c r="AD5" s="17"/>
      <c r="AE5" s="17"/>
      <c r="AG5" s="29"/>
    </row>
    <row r="6" spans="1:33" s="71" customFormat="1" ht="9.6">
      <c r="A6" s="71" t="s">
        <v>255</v>
      </c>
      <c r="B6" s="13" t="s">
        <v>181</v>
      </c>
      <c r="C6" s="78" t="s">
        <v>123</v>
      </c>
      <c r="D6" s="78" t="s">
        <v>123</v>
      </c>
      <c r="E6" s="78" t="s">
        <v>123</v>
      </c>
      <c r="F6" s="78" t="s">
        <v>123</v>
      </c>
      <c r="G6" s="78" t="s">
        <v>123</v>
      </c>
      <c r="H6" s="78" t="s">
        <v>123</v>
      </c>
      <c r="I6" s="78" t="s">
        <v>123</v>
      </c>
      <c r="J6" s="78" t="s">
        <v>123</v>
      </c>
      <c r="K6" s="78" t="s">
        <v>123</v>
      </c>
      <c r="L6" s="78" t="s">
        <v>123</v>
      </c>
      <c r="M6" s="78" t="s">
        <v>123</v>
      </c>
      <c r="N6" s="78" t="s">
        <v>123</v>
      </c>
      <c r="O6" s="78" t="s">
        <v>123</v>
      </c>
      <c r="P6" s="78" t="s">
        <v>123</v>
      </c>
      <c r="Q6" s="78" t="s">
        <v>123</v>
      </c>
      <c r="R6" s="78" t="s">
        <v>123</v>
      </c>
      <c r="S6" s="78" t="s">
        <v>123</v>
      </c>
      <c r="T6" s="78" t="s">
        <v>123</v>
      </c>
      <c r="U6" s="78">
        <v>-45199</v>
      </c>
      <c r="V6" s="78">
        <v>-89844</v>
      </c>
      <c r="W6" s="78">
        <v>-63574</v>
      </c>
      <c r="X6" s="79">
        <v>-30032</v>
      </c>
      <c r="Y6" s="79">
        <v>-40249</v>
      </c>
      <c r="Z6" s="77">
        <v>-76471</v>
      </c>
      <c r="AA6" s="77">
        <v>-61278</v>
      </c>
      <c r="AB6" s="17"/>
      <c r="AD6" s="17"/>
      <c r="AE6" s="17"/>
      <c r="AG6" s="92"/>
    </row>
    <row r="7" spans="1:33" s="71" customFormat="1" ht="9.6">
      <c r="A7" s="87" t="s">
        <v>372</v>
      </c>
      <c r="B7" s="13" t="s">
        <v>371</v>
      </c>
      <c r="C7" s="78" t="s">
        <v>123</v>
      </c>
      <c r="D7" s="78" t="s">
        <v>123</v>
      </c>
      <c r="E7" s="78" t="s">
        <v>123</v>
      </c>
      <c r="F7" s="78" t="s">
        <v>123</v>
      </c>
      <c r="G7" s="78" t="s">
        <v>123</v>
      </c>
      <c r="H7" s="78" t="s">
        <v>123</v>
      </c>
      <c r="I7" s="78" t="s">
        <v>123</v>
      </c>
      <c r="J7" s="78" t="s">
        <v>123</v>
      </c>
      <c r="K7" s="78" t="s">
        <v>123</v>
      </c>
      <c r="L7" s="78" t="s">
        <v>123</v>
      </c>
      <c r="M7" s="78" t="s">
        <v>123</v>
      </c>
      <c r="N7" s="78" t="s">
        <v>123</v>
      </c>
      <c r="O7" s="78" t="s">
        <v>123</v>
      </c>
      <c r="P7" s="78" t="s">
        <v>123</v>
      </c>
      <c r="Q7" s="78" t="s">
        <v>123</v>
      </c>
      <c r="R7" s="78" t="s">
        <v>123</v>
      </c>
      <c r="S7" s="78" t="s">
        <v>123</v>
      </c>
      <c r="T7" s="78">
        <v>70</v>
      </c>
      <c r="U7" s="78">
        <v>328</v>
      </c>
      <c r="V7" s="78">
        <v>52</v>
      </c>
      <c r="W7" s="78">
        <v>45</v>
      </c>
      <c r="X7" s="79">
        <v>-13203</v>
      </c>
      <c r="Y7" s="79">
        <v>-4345</v>
      </c>
      <c r="Z7" s="77">
        <v>-1914</v>
      </c>
      <c r="AA7" s="77">
        <v>-2143</v>
      </c>
      <c r="AB7" s="17"/>
      <c r="AD7" s="17"/>
      <c r="AE7" s="17"/>
      <c r="AG7" s="92"/>
    </row>
    <row r="8" spans="1:33" s="6" customFormat="1" ht="9.6">
      <c r="A8" s="6" t="s">
        <v>265</v>
      </c>
      <c r="B8" s="13" t="s">
        <v>98</v>
      </c>
      <c r="C8" s="77">
        <v>22190</v>
      </c>
      <c r="D8" s="77">
        <v>22164</v>
      </c>
      <c r="E8" s="77">
        <v>23763</v>
      </c>
      <c r="F8" s="77">
        <v>23276</v>
      </c>
      <c r="G8" s="77">
        <v>27358</v>
      </c>
      <c r="H8" s="77">
        <v>30926</v>
      </c>
      <c r="I8" s="77">
        <v>34081</v>
      </c>
      <c r="J8" s="77">
        <v>35909</v>
      </c>
      <c r="K8" s="77">
        <v>38711</v>
      </c>
      <c r="L8" s="77">
        <v>33083</v>
      </c>
      <c r="M8" s="77">
        <v>41290</v>
      </c>
      <c r="N8" s="77">
        <v>52478</v>
      </c>
      <c r="O8" s="80" t="s">
        <v>123</v>
      </c>
      <c r="P8" s="80" t="s">
        <v>123</v>
      </c>
      <c r="Q8" s="80" t="s">
        <v>123</v>
      </c>
      <c r="R8" s="80" t="s">
        <v>123</v>
      </c>
      <c r="S8" s="80" t="s">
        <v>123</v>
      </c>
      <c r="T8" s="80" t="s">
        <v>123</v>
      </c>
      <c r="U8" s="80" t="s">
        <v>123</v>
      </c>
      <c r="V8" s="80" t="s">
        <v>123</v>
      </c>
      <c r="W8" s="80" t="s">
        <v>123</v>
      </c>
      <c r="X8" s="80" t="s">
        <v>123</v>
      </c>
      <c r="Y8" s="80" t="s">
        <v>123</v>
      </c>
      <c r="Z8" s="80" t="s">
        <v>123</v>
      </c>
      <c r="AA8" s="80" t="s">
        <v>123</v>
      </c>
      <c r="AB8" s="17"/>
      <c r="AD8" s="17"/>
      <c r="AE8" s="17"/>
    </row>
    <row r="9" spans="1:33" s="6" customFormat="1" ht="19.2">
      <c r="A9" s="6" t="s">
        <v>256</v>
      </c>
      <c r="B9" s="13" t="s">
        <v>86</v>
      </c>
      <c r="C9" s="80" t="s">
        <v>123</v>
      </c>
      <c r="D9" s="80" t="s">
        <v>123</v>
      </c>
      <c r="E9" s="80" t="s">
        <v>123</v>
      </c>
      <c r="F9" s="80" t="s">
        <v>123</v>
      </c>
      <c r="G9" s="80" t="s">
        <v>123</v>
      </c>
      <c r="H9" s="80" t="s">
        <v>123</v>
      </c>
      <c r="I9" s="80" t="s">
        <v>123</v>
      </c>
      <c r="J9" s="80" t="s">
        <v>123</v>
      </c>
      <c r="K9" s="80" t="s">
        <v>123</v>
      </c>
      <c r="L9" s="80" t="s">
        <v>123</v>
      </c>
      <c r="M9" s="80" t="s">
        <v>123</v>
      </c>
      <c r="N9" s="80" t="s">
        <v>123</v>
      </c>
      <c r="O9" s="77">
        <v>22974</v>
      </c>
      <c r="P9" s="77">
        <v>23611</v>
      </c>
      <c r="Q9" s="77">
        <v>25016</v>
      </c>
      <c r="R9" s="77">
        <v>30438</v>
      </c>
      <c r="S9" s="77">
        <v>32225</v>
      </c>
      <c r="T9" s="77">
        <v>30280</v>
      </c>
      <c r="U9" s="77">
        <v>28995</v>
      </c>
      <c r="V9" s="77">
        <v>27684</v>
      </c>
      <c r="W9" s="77">
        <v>27168</v>
      </c>
      <c r="X9" s="77">
        <v>23424</v>
      </c>
      <c r="Y9" s="77">
        <v>18706</v>
      </c>
      <c r="Z9" s="77">
        <v>17277</v>
      </c>
      <c r="AA9" s="77">
        <v>16319</v>
      </c>
      <c r="AB9" s="17"/>
      <c r="AD9" s="17"/>
      <c r="AE9" s="17"/>
    </row>
    <row r="10" spans="1:33" s="6" customFormat="1" ht="19.2">
      <c r="A10" s="6" t="s">
        <v>257</v>
      </c>
      <c r="B10" s="13" t="s">
        <v>87</v>
      </c>
      <c r="C10" s="80" t="s">
        <v>123</v>
      </c>
      <c r="D10" s="80" t="s">
        <v>123</v>
      </c>
      <c r="E10" s="80" t="s">
        <v>123</v>
      </c>
      <c r="F10" s="80" t="s">
        <v>123</v>
      </c>
      <c r="G10" s="80" t="s">
        <v>123</v>
      </c>
      <c r="H10" s="80" t="s">
        <v>123</v>
      </c>
      <c r="I10" s="80" t="s">
        <v>123</v>
      </c>
      <c r="J10" s="80" t="s">
        <v>123</v>
      </c>
      <c r="K10" s="80" t="s">
        <v>123</v>
      </c>
      <c r="L10" s="80" t="s">
        <v>123</v>
      </c>
      <c r="M10" s="80" t="s">
        <v>123</v>
      </c>
      <c r="N10" s="80" t="s">
        <v>123</v>
      </c>
      <c r="O10" s="77">
        <v>44757</v>
      </c>
      <c r="P10" s="77">
        <v>41377</v>
      </c>
      <c r="Q10" s="77">
        <v>39835</v>
      </c>
      <c r="R10" s="77">
        <v>36032</v>
      </c>
      <c r="S10" s="77">
        <v>33665</v>
      </c>
      <c r="T10" s="77">
        <v>35459</v>
      </c>
      <c r="U10" s="77">
        <v>36326</v>
      </c>
      <c r="V10" s="77">
        <v>40233</v>
      </c>
      <c r="W10" s="77">
        <v>43401</v>
      </c>
      <c r="X10" s="77">
        <v>37395</v>
      </c>
      <c r="Y10" s="77">
        <v>16561</v>
      </c>
      <c r="Z10" s="77">
        <v>8393</v>
      </c>
      <c r="AA10" s="77">
        <v>3906</v>
      </c>
      <c r="AB10" s="17"/>
      <c r="AD10" s="17"/>
      <c r="AE10" s="17"/>
    </row>
    <row r="11" spans="1:33" s="6" customFormat="1" ht="9.6">
      <c r="A11" s="6" t="s">
        <v>258</v>
      </c>
      <c r="B11" s="13" t="s">
        <v>88</v>
      </c>
      <c r="C11" s="77">
        <v>7029</v>
      </c>
      <c r="D11" s="77">
        <v>6835</v>
      </c>
      <c r="E11" s="77">
        <v>6956</v>
      </c>
      <c r="F11" s="77">
        <v>6561</v>
      </c>
      <c r="G11" s="77">
        <v>6009</v>
      </c>
      <c r="H11" s="77">
        <v>5880</v>
      </c>
      <c r="I11" s="77">
        <v>2956</v>
      </c>
      <c r="J11" s="77">
        <v>-3281</v>
      </c>
      <c r="K11" s="77">
        <v>4896</v>
      </c>
      <c r="L11" s="77">
        <v>8718</v>
      </c>
      <c r="M11" s="77">
        <v>8275</v>
      </c>
      <c r="N11" s="77">
        <v>11821</v>
      </c>
      <c r="O11" s="77">
        <v>14660</v>
      </c>
      <c r="P11" s="77">
        <v>-1527</v>
      </c>
      <c r="Q11" s="77">
        <v>6288</v>
      </c>
      <c r="R11" s="77">
        <v>6275</v>
      </c>
      <c r="S11" s="77">
        <v>12906</v>
      </c>
      <c r="T11" s="77">
        <v>4023</v>
      </c>
      <c r="U11" s="77">
        <v>4288</v>
      </c>
      <c r="V11" s="77">
        <v>12876</v>
      </c>
      <c r="W11" s="77">
        <v>3952</v>
      </c>
      <c r="X11" s="77">
        <v>3099</v>
      </c>
      <c r="Y11" s="77">
        <v>5221</v>
      </c>
      <c r="Z11" s="77">
        <v>152</v>
      </c>
      <c r="AA11" s="77">
        <v>5263</v>
      </c>
      <c r="AB11" s="17"/>
      <c r="AD11" s="17"/>
      <c r="AE11" s="17"/>
    </row>
    <row r="12" spans="1:33" s="6" customFormat="1" ht="19.2">
      <c r="A12" s="6" t="s">
        <v>259</v>
      </c>
      <c r="B12" s="13" t="s">
        <v>89</v>
      </c>
      <c r="C12" s="81" t="s">
        <v>123</v>
      </c>
      <c r="D12" s="81" t="s">
        <v>123</v>
      </c>
      <c r="E12" s="81" t="s">
        <v>123</v>
      </c>
      <c r="F12" s="81" t="s">
        <v>123</v>
      </c>
      <c r="G12" s="81" t="s">
        <v>123</v>
      </c>
      <c r="H12" s="81" t="s">
        <v>123</v>
      </c>
      <c r="I12" s="81" t="s">
        <v>123</v>
      </c>
      <c r="J12" s="77">
        <v>4554</v>
      </c>
      <c r="K12" s="77">
        <v>2835</v>
      </c>
      <c r="L12" s="77">
        <v>2049</v>
      </c>
      <c r="M12" s="77">
        <v>1531</v>
      </c>
      <c r="N12" s="77">
        <v>1408</v>
      </c>
      <c r="O12" s="77">
        <v>1125</v>
      </c>
      <c r="P12" s="77">
        <v>1623</v>
      </c>
      <c r="Q12" s="77">
        <v>1301</v>
      </c>
      <c r="R12" s="77">
        <v>728</v>
      </c>
      <c r="S12" s="77">
        <v>514</v>
      </c>
      <c r="T12" s="77">
        <v>1028</v>
      </c>
      <c r="U12" s="77">
        <v>3230</v>
      </c>
      <c r="V12" s="77">
        <v>1471</v>
      </c>
      <c r="W12" s="77">
        <v>877</v>
      </c>
      <c r="X12" s="77">
        <v>385</v>
      </c>
      <c r="Y12" s="77">
        <v>27</v>
      </c>
      <c r="Z12" s="77">
        <v>15</v>
      </c>
      <c r="AA12" s="77">
        <v>32</v>
      </c>
      <c r="AB12" s="17"/>
      <c r="AD12" s="17"/>
      <c r="AE12" s="17"/>
    </row>
    <row r="13" spans="1:33" s="6" customFormat="1" ht="19.2">
      <c r="A13" s="6" t="s">
        <v>224</v>
      </c>
      <c r="B13" s="13" t="s">
        <v>99</v>
      </c>
      <c r="C13" s="81">
        <v>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77">
        <v>768</v>
      </c>
      <c r="K13" s="77">
        <v>0</v>
      </c>
      <c r="L13" s="77">
        <v>0</v>
      </c>
      <c r="M13" s="77">
        <v>0</v>
      </c>
      <c r="N13" s="77">
        <v>9281</v>
      </c>
      <c r="O13" s="80" t="s">
        <v>123</v>
      </c>
      <c r="P13" s="80" t="s">
        <v>123</v>
      </c>
      <c r="Q13" s="80" t="s">
        <v>123</v>
      </c>
      <c r="R13" s="80" t="s">
        <v>123</v>
      </c>
      <c r="S13" s="80" t="s">
        <v>123</v>
      </c>
      <c r="T13" s="80" t="s">
        <v>123</v>
      </c>
      <c r="U13" s="80" t="s">
        <v>123</v>
      </c>
      <c r="V13" s="80" t="s">
        <v>123</v>
      </c>
      <c r="W13" s="80" t="s">
        <v>123</v>
      </c>
      <c r="X13" s="80" t="s">
        <v>123</v>
      </c>
      <c r="Y13" s="80" t="s">
        <v>123</v>
      </c>
      <c r="Z13" s="80" t="s">
        <v>123</v>
      </c>
      <c r="AA13" s="80" t="s">
        <v>123</v>
      </c>
      <c r="AB13" s="17"/>
      <c r="AD13" s="17"/>
      <c r="AE13" s="17"/>
    </row>
    <row r="14" spans="1:33" s="6" customFormat="1" ht="9.6">
      <c r="A14" s="6" t="s">
        <v>262</v>
      </c>
      <c r="B14" s="13" t="s">
        <v>91</v>
      </c>
      <c r="C14" s="81"/>
      <c r="D14" s="81"/>
      <c r="E14" s="81"/>
      <c r="F14" s="81"/>
      <c r="G14" s="81"/>
      <c r="H14" s="81"/>
      <c r="I14" s="81"/>
      <c r="J14" s="77"/>
      <c r="K14" s="77"/>
      <c r="L14" s="77"/>
      <c r="M14" s="77"/>
      <c r="N14" s="77"/>
      <c r="O14" s="80"/>
      <c r="P14" s="80"/>
      <c r="Q14" s="80"/>
      <c r="R14" s="80" t="s">
        <v>123</v>
      </c>
      <c r="S14" s="80">
        <v>2753</v>
      </c>
      <c r="T14" s="80">
        <v>2919</v>
      </c>
      <c r="U14" s="80">
        <v>2936</v>
      </c>
      <c r="V14" s="80">
        <v>2888</v>
      </c>
      <c r="W14" s="80">
        <v>2772</v>
      </c>
      <c r="X14" s="77">
        <v>884</v>
      </c>
      <c r="Y14" s="77">
        <v>-7</v>
      </c>
      <c r="Z14" s="77">
        <v>77</v>
      </c>
      <c r="AA14" s="77">
        <v>-93</v>
      </c>
      <c r="AB14" s="17"/>
      <c r="AD14" s="17"/>
      <c r="AE14" s="17"/>
    </row>
    <row r="15" spans="1:33" s="6" customFormat="1" ht="9.6">
      <c r="A15" s="6" t="s">
        <v>263</v>
      </c>
      <c r="B15" s="13" t="s">
        <v>92</v>
      </c>
      <c r="C15" s="81"/>
      <c r="D15" s="81"/>
      <c r="E15" s="81"/>
      <c r="F15" s="81"/>
      <c r="G15" s="81"/>
      <c r="H15" s="81"/>
      <c r="I15" s="81"/>
      <c r="J15" s="77"/>
      <c r="K15" s="77"/>
      <c r="L15" s="77"/>
      <c r="M15" s="77"/>
      <c r="N15" s="77"/>
      <c r="O15" s="80"/>
      <c r="P15" s="80"/>
      <c r="Q15" s="80"/>
      <c r="R15" s="80" t="s">
        <v>123</v>
      </c>
      <c r="S15" s="80">
        <v>241</v>
      </c>
      <c r="T15" s="80">
        <v>242</v>
      </c>
      <c r="U15" s="80">
        <v>266</v>
      </c>
      <c r="V15" s="80">
        <v>415</v>
      </c>
      <c r="W15" s="80">
        <v>207</v>
      </c>
      <c r="X15" s="77">
        <v>31</v>
      </c>
      <c r="Y15" s="77">
        <v>9</v>
      </c>
      <c r="Z15" s="77">
        <v>31</v>
      </c>
      <c r="AA15" s="77">
        <v>73</v>
      </c>
      <c r="AB15" s="17"/>
      <c r="AD15" s="17"/>
      <c r="AE15" s="17"/>
    </row>
    <row r="16" spans="1:33" s="6" customFormat="1" ht="9.6">
      <c r="A16" s="6" t="s">
        <v>96</v>
      </c>
      <c r="B16" s="13" t="s">
        <v>96</v>
      </c>
      <c r="C16" s="81" t="s">
        <v>123</v>
      </c>
      <c r="D16" s="81" t="s">
        <v>123</v>
      </c>
      <c r="E16" s="81" t="s">
        <v>123</v>
      </c>
      <c r="F16" s="81" t="s">
        <v>123</v>
      </c>
      <c r="G16" s="81" t="s">
        <v>123</v>
      </c>
      <c r="H16" s="81" t="s">
        <v>123</v>
      </c>
      <c r="I16" s="81" t="s">
        <v>123</v>
      </c>
      <c r="J16" s="81" t="s">
        <v>123</v>
      </c>
      <c r="K16" s="77">
        <v>4514</v>
      </c>
      <c r="L16" s="77">
        <v>7295</v>
      </c>
      <c r="M16" s="77">
        <v>10215</v>
      </c>
      <c r="N16" s="77">
        <v>10889</v>
      </c>
      <c r="O16" s="77">
        <v>18026</v>
      </c>
      <c r="P16" s="77">
        <v>23137</v>
      </c>
      <c r="Q16" s="77">
        <v>28665</v>
      </c>
      <c r="R16" s="77">
        <v>33384</v>
      </c>
      <c r="S16" s="77">
        <f>39429-8488</f>
        <v>30941</v>
      </c>
      <c r="T16" s="77">
        <v>34305</v>
      </c>
      <c r="U16" s="77">
        <f>47222-10055</f>
        <v>37167</v>
      </c>
      <c r="V16" s="77">
        <v>39025</v>
      </c>
      <c r="W16" s="77">
        <v>39067</v>
      </c>
      <c r="X16" s="77">
        <v>40088</v>
      </c>
      <c r="Y16" s="77">
        <v>39730</v>
      </c>
      <c r="Z16" s="77">
        <v>38686</v>
      </c>
      <c r="AA16" s="77">
        <v>37605</v>
      </c>
      <c r="AB16" s="17"/>
      <c r="AD16" s="17"/>
      <c r="AE16" s="17"/>
    </row>
    <row r="17" spans="1:31" s="6" customFormat="1" ht="9.6">
      <c r="A17" s="6" t="s">
        <v>260</v>
      </c>
      <c r="B17" s="13" t="s">
        <v>90</v>
      </c>
      <c r="C17" s="81">
        <v>500</v>
      </c>
      <c r="D17" s="81">
        <v>1138</v>
      </c>
      <c r="E17" s="81">
        <v>1308</v>
      </c>
      <c r="F17" s="81">
        <v>3965</v>
      </c>
      <c r="G17" s="81">
        <v>1924</v>
      </c>
      <c r="H17" s="81">
        <v>3940</v>
      </c>
      <c r="I17" s="81">
        <v>5323</v>
      </c>
      <c r="J17" s="81">
        <v>4663</v>
      </c>
      <c r="K17" s="77">
        <v>2488</v>
      </c>
      <c r="L17" s="77">
        <v>889</v>
      </c>
      <c r="M17" s="77">
        <v>1690</v>
      </c>
      <c r="N17" s="77">
        <v>-3659</v>
      </c>
      <c r="O17" s="77">
        <v>447</v>
      </c>
      <c r="P17" s="77">
        <v>399</v>
      </c>
      <c r="Q17" s="77">
        <v>419</v>
      </c>
      <c r="R17" s="77">
        <v>444</v>
      </c>
      <c r="S17" s="77">
        <f>520+8488</f>
        <v>9008</v>
      </c>
      <c r="T17" s="77">
        <v>9679</v>
      </c>
      <c r="U17" s="77">
        <f>230+10055</f>
        <v>10285</v>
      </c>
      <c r="V17" s="77">
        <v>12217</v>
      </c>
      <c r="W17" s="77">
        <v>10907</v>
      </c>
      <c r="X17" s="77">
        <v>11146</v>
      </c>
      <c r="Y17" s="77">
        <v>11481</v>
      </c>
      <c r="Z17" s="77">
        <v>11647</v>
      </c>
      <c r="AA17" s="77">
        <v>11305</v>
      </c>
      <c r="AB17" s="17"/>
      <c r="AD17" s="17"/>
      <c r="AE17" s="17"/>
    </row>
    <row r="18" spans="1:31" s="6" customFormat="1" ht="9.6">
      <c r="A18" s="6" t="s">
        <v>261</v>
      </c>
      <c r="B18" s="13" t="s">
        <v>81</v>
      </c>
      <c r="C18" s="82">
        <v>101379</v>
      </c>
      <c r="D18" s="82">
        <v>112159</v>
      </c>
      <c r="E18" s="82">
        <v>108246</v>
      </c>
      <c r="F18" s="82">
        <v>104038</v>
      </c>
      <c r="G18" s="82">
        <v>32927</v>
      </c>
      <c r="H18" s="82">
        <v>33542</v>
      </c>
      <c r="I18" s="82">
        <v>32931</v>
      </c>
      <c r="J18" s="82">
        <v>57547</v>
      </c>
      <c r="K18" s="82">
        <v>70725</v>
      </c>
      <c r="L18" s="82">
        <v>40065</v>
      </c>
      <c r="M18" s="82">
        <v>30332</v>
      </c>
      <c r="N18" s="82">
        <v>31942</v>
      </c>
      <c r="O18" s="83" t="s">
        <v>123</v>
      </c>
      <c r="P18" s="83" t="s">
        <v>123</v>
      </c>
      <c r="Q18" s="83" t="s">
        <v>123</v>
      </c>
      <c r="R18" s="83" t="s">
        <v>123</v>
      </c>
      <c r="S18" s="83" t="s">
        <v>123</v>
      </c>
      <c r="T18" s="83" t="s">
        <v>123</v>
      </c>
      <c r="U18" s="83" t="s">
        <v>123</v>
      </c>
      <c r="V18" s="83" t="s">
        <v>123</v>
      </c>
      <c r="W18" s="83" t="s">
        <v>123</v>
      </c>
      <c r="X18" s="83" t="s">
        <v>123</v>
      </c>
      <c r="Y18" s="83" t="s">
        <v>123</v>
      </c>
      <c r="Z18" s="83" t="s">
        <v>123</v>
      </c>
      <c r="AA18" s="83" t="s">
        <v>123</v>
      </c>
      <c r="AB18" s="17"/>
      <c r="AD18" s="17"/>
      <c r="AE18" s="17"/>
    </row>
    <row r="19" spans="1:31" s="6" customFormat="1" ht="9.6">
      <c r="A19" s="6" t="s">
        <v>262</v>
      </c>
      <c r="B19" s="13" t="s">
        <v>91</v>
      </c>
      <c r="C19" s="77">
        <v>3992</v>
      </c>
      <c r="D19" s="77">
        <v>3557</v>
      </c>
      <c r="E19" s="77">
        <v>3694</v>
      </c>
      <c r="F19" s="77">
        <v>3954</v>
      </c>
      <c r="G19" s="77">
        <v>4142</v>
      </c>
      <c r="H19" s="77">
        <v>4406</v>
      </c>
      <c r="I19" s="77">
        <v>4689</v>
      </c>
      <c r="J19" s="77">
        <v>5721</v>
      </c>
      <c r="K19" s="77">
        <v>5963</v>
      </c>
      <c r="L19" s="77">
        <v>6140</v>
      </c>
      <c r="M19" s="77">
        <v>6472</v>
      </c>
      <c r="N19" s="77">
        <v>6581</v>
      </c>
      <c r="O19" s="80" t="s">
        <v>123</v>
      </c>
      <c r="P19" s="80" t="s">
        <v>123</v>
      </c>
      <c r="Q19" s="80" t="s">
        <v>123</v>
      </c>
      <c r="R19" s="80" t="s">
        <v>123</v>
      </c>
      <c r="S19" s="80" t="s">
        <v>123</v>
      </c>
      <c r="T19" s="80" t="s">
        <v>123</v>
      </c>
      <c r="U19" s="80" t="s">
        <v>123</v>
      </c>
      <c r="V19" s="80" t="s">
        <v>123</v>
      </c>
      <c r="W19" s="80" t="s">
        <v>123</v>
      </c>
      <c r="X19" s="80" t="s">
        <v>123</v>
      </c>
      <c r="Y19" s="80" t="s">
        <v>123</v>
      </c>
      <c r="Z19" s="80" t="s">
        <v>123</v>
      </c>
      <c r="AA19" s="80" t="s">
        <v>123</v>
      </c>
      <c r="AB19" s="17"/>
      <c r="AD19" s="17"/>
      <c r="AE19" s="17"/>
    </row>
    <row r="20" spans="1:31" s="6" customFormat="1" ht="9.6">
      <c r="A20" s="6" t="s">
        <v>263</v>
      </c>
      <c r="B20" s="13" t="s">
        <v>92</v>
      </c>
      <c r="C20" s="77">
        <v>136</v>
      </c>
      <c r="D20" s="77">
        <v>464</v>
      </c>
      <c r="E20" s="77">
        <v>425</v>
      </c>
      <c r="F20" s="77">
        <v>284</v>
      </c>
      <c r="G20" s="77">
        <v>113</v>
      </c>
      <c r="H20" s="77">
        <v>221</v>
      </c>
      <c r="I20" s="77">
        <v>352</v>
      </c>
      <c r="J20" s="77">
        <v>499</v>
      </c>
      <c r="K20" s="77">
        <v>283</v>
      </c>
      <c r="L20" s="77">
        <v>566</v>
      </c>
      <c r="M20" s="77">
        <v>264</v>
      </c>
      <c r="N20" s="77">
        <v>445</v>
      </c>
      <c r="O20" s="80" t="s">
        <v>123</v>
      </c>
      <c r="P20" s="80" t="s">
        <v>123</v>
      </c>
      <c r="Q20" s="80" t="s">
        <v>123</v>
      </c>
      <c r="R20" s="80" t="s">
        <v>123</v>
      </c>
      <c r="S20" s="80" t="s">
        <v>123</v>
      </c>
      <c r="T20" s="80" t="s">
        <v>123</v>
      </c>
      <c r="U20" s="80" t="s">
        <v>123</v>
      </c>
      <c r="V20" s="80" t="s">
        <v>123</v>
      </c>
      <c r="W20" s="80" t="s">
        <v>123</v>
      </c>
      <c r="X20" s="80" t="s">
        <v>123</v>
      </c>
      <c r="Y20" s="80" t="s">
        <v>123</v>
      </c>
      <c r="Z20" s="80" t="s">
        <v>123</v>
      </c>
      <c r="AA20" s="80" t="s">
        <v>123</v>
      </c>
      <c r="AB20" s="17"/>
      <c r="AD20" s="17"/>
      <c r="AE20" s="17"/>
    </row>
    <row r="21" spans="1:31" s="6" customFormat="1" ht="9.6">
      <c r="A21" s="6" t="s">
        <v>264</v>
      </c>
      <c r="B21" s="13" t="s">
        <v>84</v>
      </c>
      <c r="C21" s="77">
        <v>97251</v>
      </c>
      <c r="D21" s="77">
        <v>108138</v>
      </c>
      <c r="E21" s="77">
        <v>104127</v>
      </c>
      <c r="F21" s="77">
        <v>99800</v>
      </c>
      <c r="G21" s="77">
        <v>28672</v>
      </c>
      <c r="H21" s="77">
        <v>28915</v>
      </c>
      <c r="I21" s="77">
        <v>27890</v>
      </c>
      <c r="J21" s="77">
        <v>51327</v>
      </c>
      <c r="K21" s="77">
        <v>64479</v>
      </c>
      <c r="L21" s="77">
        <v>33359</v>
      </c>
      <c r="M21" s="77">
        <v>23596</v>
      </c>
      <c r="N21" s="77">
        <v>24916</v>
      </c>
      <c r="O21" s="80" t="s">
        <v>123</v>
      </c>
      <c r="P21" s="80" t="s">
        <v>123</v>
      </c>
      <c r="Q21" s="80" t="s">
        <v>123</v>
      </c>
      <c r="R21" s="80" t="s">
        <v>123</v>
      </c>
      <c r="S21" s="80" t="s">
        <v>123</v>
      </c>
      <c r="T21" s="80" t="s">
        <v>123</v>
      </c>
      <c r="U21" s="80" t="s">
        <v>123</v>
      </c>
      <c r="V21" s="80" t="s">
        <v>123</v>
      </c>
      <c r="W21" s="80" t="s">
        <v>123</v>
      </c>
      <c r="X21" s="80" t="s">
        <v>123</v>
      </c>
      <c r="Y21" s="80" t="s">
        <v>123</v>
      </c>
      <c r="Z21" s="80" t="s">
        <v>123</v>
      </c>
      <c r="AA21" s="80" t="s">
        <v>123</v>
      </c>
      <c r="AB21" s="17"/>
      <c r="AD21" s="17"/>
      <c r="AE21" s="17"/>
    </row>
    <row r="22" spans="1:31" s="6" customFormat="1" ht="9.6">
      <c r="A22" s="6" t="s">
        <v>261</v>
      </c>
      <c r="B22" s="74" t="s">
        <v>26</v>
      </c>
      <c r="C22" s="75" t="s">
        <v>123</v>
      </c>
      <c r="D22" s="75" t="s">
        <v>123</v>
      </c>
      <c r="E22" s="75" t="s">
        <v>123</v>
      </c>
      <c r="F22" s="75" t="s">
        <v>123</v>
      </c>
      <c r="G22" s="75" t="s">
        <v>123</v>
      </c>
      <c r="H22" s="75" t="s">
        <v>123</v>
      </c>
      <c r="I22" s="75" t="s">
        <v>123</v>
      </c>
      <c r="J22" s="75" t="s">
        <v>123</v>
      </c>
      <c r="K22" s="75" t="s">
        <v>123</v>
      </c>
      <c r="L22" s="75" t="s">
        <v>123</v>
      </c>
      <c r="M22" s="75" t="s">
        <v>123</v>
      </c>
      <c r="N22" s="75" t="s">
        <v>123</v>
      </c>
      <c r="O22" s="76">
        <v>35078</v>
      </c>
      <c r="P22" s="76">
        <v>52175</v>
      </c>
      <c r="Q22" s="76">
        <v>38463</v>
      </c>
      <c r="R22" s="76">
        <v>38112</v>
      </c>
      <c r="S22" s="76">
        <f>S25</f>
        <v>33474</v>
      </c>
      <c r="T22" s="76">
        <f t="shared" ref="T22:V22" si="4">T25</f>
        <v>35442</v>
      </c>
      <c r="U22" s="76">
        <f t="shared" si="4"/>
        <v>44164</v>
      </c>
      <c r="V22" s="76">
        <f t="shared" si="4"/>
        <v>40445</v>
      </c>
      <c r="W22" s="76">
        <f>W25</f>
        <v>22486</v>
      </c>
      <c r="X22" s="76">
        <f>X25</f>
        <v>38304</v>
      </c>
      <c r="Y22" s="76">
        <v>54324</v>
      </c>
      <c r="Z22" s="76">
        <f>Z25</f>
        <v>58714</v>
      </c>
      <c r="AA22" s="76">
        <f>AA25</f>
        <v>62130</v>
      </c>
      <c r="AB22" s="17"/>
      <c r="AD22" s="17"/>
      <c r="AE22" s="17"/>
    </row>
    <row r="23" spans="1:31" s="6" customFormat="1" ht="9.6">
      <c r="A23" s="6" t="s">
        <v>262</v>
      </c>
      <c r="B23" s="13" t="s">
        <v>91</v>
      </c>
      <c r="C23" s="80" t="s">
        <v>123</v>
      </c>
      <c r="D23" s="80" t="s">
        <v>123</v>
      </c>
      <c r="E23" s="80" t="s">
        <v>123</v>
      </c>
      <c r="F23" s="80" t="s">
        <v>123</v>
      </c>
      <c r="G23" s="80" t="s">
        <v>123</v>
      </c>
      <c r="H23" s="80" t="s">
        <v>123</v>
      </c>
      <c r="I23" s="80" t="s">
        <v>123</v>
      </c>
      <c r="J23" s="80" t="s">
        <v>123</v>
      </c>
      <c r="K23" s="80" t="s">
        <v>123</v>
      </c>
      <c r="L23" s="80" t="s">
        <v>123</v>
      </c>
      <c r="M23" s="80" t="s">
        <v>123</v>
      </c>
      <c r="N23" s="80" t="s">
        <v>123</v>
      </c>
      <c r="O23" s="77">
        <v>2717</v>
      </c>
      <c r="P23" s="77">
        <v>2564</v>
      </c>
      <c r="Q23" s="77">
        <v>2644</v>
      </c>
      <c r="R23" s="77">
        <v>2793</v>
      </c>
      <c r="S23" s="80" t="s">
        <v>123</v>
      </c>
      <c r="T23" s="80" t="s">
        <v>123</v>
      </c>
      <c r="U23" s="80" t="s">
        <v>123</v>
      </c>
      <c r="V23" s="80" t="s">
        <v>123</v>
      </c>
      <c r="W23" s="80" t="s">
        <v>123</v>
      </c>
      <c r="X23" s="80" t="s">
        <v>123</v>
      </c>
      <c r="Y23" s="80" t="s">
        <v>123</v>
      </c>
      <c r="Z23" s="80" t="s">
        <v>123</v>
      </c>
      <c r="AA23" s="80" t="s">
        <v>123</v>
      </c>
      <c r="AB23" s="17"/>
      <c r="AD23" s="17"/>
      <c r="AE23" s="17"/>
    </row>
    <row r="24" spans="1:31" s="6" customFormat="1" ht="9.6">
      <c r="A24" s="6" t="s">
        <v>263</v>
      </c>
      <c r="B24" s="13" t="s">
        <v>92</v>
      </c>
      <c r="C24" s="80" t="s">
        <v>123</v>
      </c>
      <c r="D24" s="80" t="s">
        <v>123</v>
      </c>
      <c r="E24" s="80" t="s">
        <v>123</v>
      </c>
      <c r="F24" s="80" t="s">
        <v>123</v>
      </c>
      <c r="G24" s="80" t="s">
        <v>123</v>
      </c>
      <c r="H24" s="80" t="s">
        <v>123</v>
      </c>
      <c r="I24" s="80" t="s">
        <v>123</v>
      </c>
      <c r="J24" s="80" t="s">
        <v>123</v>
      </c>
      <c r="K24" s="80" t="s">
        <v>123</v>
      </c>
      <c r="L24" s="80" t="s">
        <v>123</v>
      </c>
      <c r="M24" s="80" t="s">
        <v>123</v>
      </c>
      <c r="N24" s="80" t="s">
        <v>123</v>
      </c>
      <c r="O24" s="77">
        <v>490</v>
      </c>
      <c r="P24" s="77">
        <v>624</v>
      </c>
      <c r="Q24" s="77">
        <v>572</v>
      </c>
      <c r="R24" s="77">
        <v>509</v>
      </c>
      <c r="S24" s="80" t="s">
        <v>123</v>
      </c>
      <c r="T24" s="80" t="s">
        <v>123</v>
      </c>
      <c r="U24" s="80" t="s">
        <v>123</v>
      </c>
      <c r="V24" s="80" t="s">
        <v>123</v>
      </c>
      <c r="W24" s="80" t="s">
        <v>123</v>
      </c>
      <c r="X24" s="80" t="s">
        <v>123</v>
      </c>
      <c r="Y24" s="80" t="s">
        <v>123</v>
      </c>
      <c r="Z24" s="80" t="s">
        <v>123</v>
      </c>
      <c r="AA24" s="80" t="s">
        <v>123</v>
      </c>
      <c r="AB24" s="17"/>
      <c r="AD24" s="17"/>
      <c r="AE24" s="17"/>
    </row>
    <row r="25" spans="1:31" s="6" customFormat="1" ht="9.6">
      <c r="A25" s="6" t="s">
        <v>264</v>
      </c>
      <c r="B25" s="41" t="s">
        <v>100</v>
      </c>
      <c r="C25" s="80" t="s">
        <v>123</v>
      </c>
      <c r="D25" s="80" t="s">
        <v>123</v>
      </c>
      <c r="E25" s="80" t="s">
        <v>123</v>
      </c>
      <c r="F25" s="80" t="s">
        <v>123</v>
      </c>
      <c r="G25" s="80" t="s">
        <v>123</v>
      </c>
      <c r="H25" s="80" t="s">
        <v>123</v>
      </c>
      <c r="I25" s="80" t="s">
        <v>123</v>
      </c>
      <c r="J25" s="80" t="s">
        <v>123</v>
      </c>
      <c r="K25" s="80" t="s">
        <v>123</v>
      </c>
      <c r="L25" s="80" t="s">
        <v>123</v>
      </c>
      <c r="M25" s="80" t="s">
        <v>123</v>
      </c>
      <c r="N25" s="80" t="s">
        <v>123</v>
      </c>
      <c r="O25" s="77">
        <v>31871</v>
      </c>
      <c r="P25" s="77">
        <v>48987</v>
      </c>
      <c r="Q25" s="77">
        <v>35247</v>
      </c>
      <c r="R25" s="77">
        <v>34810</v>
      </c>
      <c r="S25" s="77">
        <v>33474</v>
      </c>
      <c r="T25" s="77">
        <v>35442</v>
      </c>
      <c r="U25" s="77">
        <v>44164</v>
      </c>
      <c r="V25" s="77">
        <v>40445</v>
      </c>
      <c r="W25" s="77">
        <v>22486</v>
      </c>
      <c r="X25" s="77">
        <v>38304</v>
      </c>
      <c r="Y25" s="77">
        <v>54324</v>
      </c>
      <c r="Z25" s="77">
        <v>58714</v>
      </c>
      <c r="AA25" s="77">
        <v>62130</v>
      </c>
      <c r="AB25" s="17"/>
      <c r="AD25" s="17"/>
      <c r="AE25" s="17"/>
    </row>
    <row r="26" spans="1:31" s="6" customFormat="1" thickBot="1">
      <c r="A26" s="6" t="s">
        <v>231</v>
      </c>
      <c r="B26" s="39" t="s">
        <v>1</v>
      </c>
      <c r="C26" s="43">
        <f>C27+C34</f>
        <v>-211821</v>
      </c>
      <c r="D26" s="43">
        <f t="shared" ref="D26:T26" si="5">D27+D34</f>
        <v>-222926</v>
      </c>
      <c r="E26" s="43">
        <f t="shared" si="5"/>
        <v>-230697</v>
      </c>
      <c r="F26" s="43">
        <f t="shared" si="5"/>
        <v>-232763</v>
      </c>
      <c r="G26" s="43">
        <f t="shared" si="5"/>
        <v>-165508</v>
      </c>
      <c r="H26" s="43">
        <f t="shared" si="5"/>
        <v>-169958</v>
      </c>
      <c r="I26" s="43">
        <f t="shared" si="5"/>
        <v>-165380</v>
      </c>
      <c r="J26" s="43">
        <f t="shared" si="5"/>
        <v>-196986</v>
      </c>
      <c r="K26" s="43">
        <f t="shared" si="5"/>
        <v>-204313</v>
      </c>
      <c r="L26" s="43">
        <f t="shared" si="5"/>
        <v>-170049</v>
      </c>
      <c r="M26" s="43">
        <f t="shared" si="5"/>
        <v>-175482</v>
      </c>
      <c r="N26" s="43">
        <f t="shared" si="5"/>
        <v>-195146</v>
      </c>
      <c r="O26" s="43">
        <f t="shared" si="5"/>
        <v>-210323</v>
      </c>
      <c r="P26" s="43">
        <f t="shared" si="5"/>
        <v>-228486</v>
      </c>
      <c r="Q26" s="43">
        <f t="shared" si="5"/>
        <v>-213747</v>
      </c>
      <c r="R26" s="43">
        <f t="shared" si="5"/>
        <v>-219292</v>
      </c>
      <c r="S26" s="43">
        <f t="shared" si="5"/>
        <v>-216279</v>
      </c>
      <c r="T26" s="43">
        <f t="shared" si="5"/>
        <v>-217172</v>
      </c>
      <c r="U26" s="43">
        <v>-226328</v>
      </c>
      <c r="V26" s="43">
        <v>-218067</v>
      </c>
      <c r="W26" s="43">
        <f>W27+W34</f>
        <v>-183553</v>
      </c>
      <c r="X26" s="43">
        <f>X27+X34</f>
        <v>-137708</v>
      </c>
      <c r="Y26" s="43">
        <v>-97794</v>
      </c>
      <c r="Z26" s="43">
        <f>Z27+Z34</f>
        <v>-67460</v>
      </c>
      <c r="AA26" s="43">
        <f>AA27+AA34</f>
        <v>-74488</v>
      </c>
      <c r="AB26" s="17"/>
      <c r="AD26" s="17"/>
      <c r="AE26" s="17"/>
    </row>
    <row r="27" spans="1:31" s="6" customFormat="1" ht="38.4">
      <c r="A27" s="6" t="s">
        <v>266</v>
      </c>
      <c r="B27" s="73" t="s">
        <v>83</v>
      </c>
      <c r="C27" s="84">
        <v>-112865</v>
      </c>
      <c r="D27" s="84">
        <v>-115979</v>
      </c>
      <c r="E27" s="84">
        <v>-126557</v>
      </c>
      <c r="F27" s="84">
        <v>-133840</v>
      </c>
      <c r="G27" s="84">
        <v>-139447</v>
      </c>
      <c r="H27" s="84">
        <v>-143107</v>
      </c>
      <c r="I27" s="84">
        <v>-133054</v>
      </c>
      <c r="J27" s="84">
        <v>-129162</v>
      </c>
      <c r="K27" s="84">
        <v>-121222</v>
      </c>
      <c r="L27" s="84">
        <v>-114705</v>
      </c>
      <c r="M27" s="84">
        <v>-127339</v>
      </c>
      <c r="N27" s="84">
        <v>-132547</v>
      </c>
      <c r="O27" s="84">
        <v>-139201</v>
      </c>
      <c r="P27" s="84">
        <v>-139994</v>
      </c>
      <c r="Q27" s="84">
        <v>-127879</v>
      </c>
      <c r="R27" s="84">
        <v>-127707</v>
      </c>
      <c r="S27" s="84">
        <v>-126710</v>
      </c>
      <c r="T27" s="84">
        <v>-129634</v>
      </c>
      <c r="U27" s="84">
        <v>-132828</v>
      </c>
      <c r="V27" s="84">
        <v>-125696</v>
      </c>
      <c r="W27" s="84">
        <f>SUM(W28:W33)</f>
        <v>-109269</v>
      </c>
      <c r="X27" s="84">
        <f>SUM(X28:X33)</f>
        <v>-82135</v>
      </c>
      <c r="Y27" s="84">
        <v>-61558</v>
      </c>
      <c r="Z27" s="93">
        <f>SUM(Z28:Z33)</f>
        <v>-33778</v>
      </c>
      <c r="AA27" s="93">
        <f>SUM(AA28:AA33)</f>
        <v>-31824</v>
      </c>
      <c r="AB27" s="17"/>
      <c r="AD27" s="17"/>
      <c r="AE27" s="17"/>
    </row>
    <row r="28" spans="1:31" s="6" customFormat="1" ht="9.6">
      <c r="A28" s="6" t="s">
        <v>253</v>
      </c>
      <c r="B28" s="13" t="s">
        <v>93</v>
      </c>
      <c r="C28" s="77">
        <v>-83108</v>
      </c>
      <c r="D28" s="77">
        <v>-85929</v>
      </c>
      <c r="E28" s="77">
        <v>-98190</v>
      </c>
      <c r="F28" s="77">
        <v>-101082</v>
      </c>
      <c r="G28" s="77">
        <v>-106815</v>
      </c>
      <c r="H28" s="77">
        <v>-106960</v>
      </c>
      <c r="I28" s="77">
        <v>-97203</v>
      </c>
      <c r="J28" s="77">
        <v>-89415</v>
      </c>
      <c r="K28" s="77">
        <v>-84885</v>
      </c>
      <c r="L28" s="77">
        <v>-78620</v>
      </c>
      <c r="M28" s="77">
        <v>-88967</v>
      </c>
      <c r="N28" s="77">
        <v>-93431</v>
      </c>
      <c r="O28" s="77">
        <v>-94796</v>
      </c>
      <c r="P28" s="77">
        <v>-95383</v>
      </c>
      <c r="Q28" s="77">
        <v>-88316</v>
      </c>
      <c r="R28" s="77">
        <v>-87074</v>
      </c>
      <c r="S28" s="77">
        <v>-86329</v>
      </c>
      <c r="T28" s="77">
        <v>-89530</v>
      </c>
      <c r="U28" s="77">
        <v>-91360</v>
      </c>
      <c r="V28" s="77">
        <v>-83740</v>
      </c>
      <c r="W28" s="77">
        <v>-68715</v>
      </c>
      <c r="X28" s="77">
        <v>-46725</v>
      </c>
      <c r="Y28" s="77">
        <v>-29069</v>
      </c>
      <c r="Z28" s="77">
        <v>-17480</v>
      </c>
      <c r="AA28" s="77">
        <v>-11091</v>
      </c>
      <c r="AB28" s="17"/>
      <c r="AD28" s="17"/>
      <c r="AE28" s="17"/>
    </row>
    <row r="29" spans="1:31" s="6" customFormat="1" ht="9.6">
      <c r="A29" s="6" t="s">
        <v>267</v>
      </c>
      <c r="B29" s="13" t="s">
        <v>94</v>
      </c>
      <c r="C29" s="77">
        <v>-22949</v>
      </c>
      <c r="D29" s="77">
        <v>-24724</v>
      </c>
      <c r="E29" s="77">
        <v>-24964</v>
      </c>
      <c r="F29" s="77">
        <v>-29368</v>
      </c>
      <c r="G29" s="77">
        <v>-28597</v>
      </c>
      <c r="H29" s="77">
        <v>-30455</v>
      </c>
      <c r="I29" s="77">
        <v>-31754</v>
      </c>
      <c r="J29" s="77">
        <v>-33333</v>
      </c>
      <c r="K29" s="77">
        <v>-29509</v>
      </c>
      <c r="L29" s="77">
        <v>-29123</v>
      </c>
      <c r="M29" s="77">
        <v>-30506</v>
      </c>
      <c r="N29" s="77">
        <v>-32768</v>
      </c>
      <c r="O29" s="77">
        <v>-37135</v>
      </c>
      <c r="P29" s="77">
        <v>-36247</v>
      </c>
      <c r="Q29" s="77">
        <v>-32792</v>
      </c>
      <c r="R29" s="77">
        <v>-33511</v>
      </c>
      <c r="S29" s="77">
        <v>-32117</v>
      </c>
      <c r="T29" s="77">
        <v>-32079</v>
      </c>
      <c r="U29" s="77">
        <v>-33012</v>
      </c>
      <c r="V29" s="77">
        <v>-34785</v>
      </c>
      <c r="W29" s="77">
        <v>-30307</v>
      </c>
      <c r="X29" s="77">
        <v>-31889</v>
      </c>
      <c r="Y29" s="77">
        <v>-29793</v>
      </c>
      <c r="Z29" s="77">
        <v>-15184</v>
      </c>
      <c r="AA29" s="77">
        <v>-19124</v>
      </c>
      <c r="AB29" s="17"/>
      <c r="AD29" s="17"/>
      <c r="AE29" s="17"/>
    </row>
    <row r="30" spans="1:31" s="6" customFormat="1" ht="19.2">
      <c r="A30" s="6" t="s">
        <v>259</v>
      </c>
      <c r="B30" s="13" t="s">
        <v>89</v>
      </c>
      <c r="C30" s="77">
        <v>-5380</v>
      </c>
      <c r="D30" s="77">
        <v>-4629</v>
      </c>
      <c r="E30" s="77">
        <v>-1828</v>
      </c>
      <c r="F30" s="77">
        <v>-2251</v>
      </c>
      <c r="G30" s="77">
        <v>-2384</v>
      </c>
      <c r="H30" s="77">
        <v>-3715</v>
      </c>
      <c r="I30" s="77">
        <v>-3118</v>
      </c>
      <c r="J30" s="77">
        <v>-4620</v>
      </c>
      <c r="K30" s="77">
        <v>-4096</v>
      </c>
      <c r="L30" s="77">
        <v>-3770</v>
      </c>
      <c r="M30" s="77">
        <v>-4612</v>
      </c>
      <c r="N30" s="77">
        <v>-3521</v>
      </c>
      <c r="O30" s="77">
        <v>-4286</v>
      </c>
      <c r="P30" s="77">
        <v>-4243</v>
      </c>
      <c r="Q30" s="77">
        <v>-3245</v>
      </c>
      <c r="R30" s="77">
        <v>-2879</v>
      </c>
      <c r="S30" s="77">
        <v>-3559</v>
      </c>
      <c r="T30" s="77">
        <v>-3059</v>
      </c>
      <c r="U30" s="77">
        <v>-2904</v>
      </c>
      <c r="V30" s="77">
        <v>-3347</v>
      </c>
      <c r="W30" s="77">
        <v>-4685</v>
      </c>
      <c r="X30" s="77">
        <v>-724</v>
      </c>
      <c r="Y30" s="77">
        <v>-78</v>
      </c>
      <c r="Z30" s="77">
        <v>-56</v>
      </c>
      <c r="AA30" s="77">
        <v>-20</v>
      </c>
      <c r="AB30" s="17"/>
      <c r="AD30" s="17"/>
      <c r="AE30" s="17"/>
    </row>
    <row r="31" spans="1:31" s="6" customFormat="1" ht="9.6">
      <c r="A31" s="6" t="s">
        <v>268</v>
      </c>
      <c r="B31" s="13" t="s">
        <v>95</v>
      </c>
      <c r="C31" s="77">
        <v>-910</v>
      </c>
      <c r="D31" s="77">
        <v>274</v>
      </c>
      <c r="E31" s="77">
        <v>-950</v>
      </c>
      <c r="F31" s="77">
        <v>-601</v>
      </c>
      <c r="G31" s="77">
        <v>-1081</v>
      </c>
      <c r="H31" s="77">
        <v>-1159</v>
      </c>
      <c r="I31" s="77">
        <v>-504</v>
      </c>
      <c r="J31" s="77">
        <v>-702</v>
      </c>
      <c r="K31" s="77">
        <v>-1017</v>
      </c>
      <c r="L31" s="77">
        <v>-837</v>
      </c>
      <c r="M31" s="77">
        <v>-779</v>
      </c>
      <c r="N31" s="77">
        <v>-667</v>
      </c>
      <c r="O31" s="77">
        <v>-825</v>
      </c>
      <c r="P31" s="77">
        <v>-735</v>
      </c>
      <c r="Q31" s="77">
        <v>-732</v>
      </c>
      <c r="R31" s="77">
        <v>-365</v>
      </c>
      <c r="S31" s="77">
        <v>-767</v>
      </c>
      <c r="T31" s="77">
        <v>-622</v>
      </c>
      <c r="U31" s="77">
        <v>-280</v>
      </c>
      <c r="V31" s="77">
        <v>-553</v>
      </c>
      <c r="W31" s="77">
        <v>-739</v>
      </c>
      <c r="X31" s="77">
        <v>-521</v>
      </c>
      <c r="Y31" s="77">
        <v>-383</v>
      </c>
      <c r="Z31" s="77">
        <v>-552</v>
      </c>
      <c r="AA31" s="77">
        <v>-574</v>
      </c>
      <c r="AB31" s="17"/>
      <c r="AD31" s="17"/>
      <c r="AE31" s="17"/>
    </row>
    <row r="32" spans="1:31" s="12" customFormat="1" ht="9.6">
      <c r="A32" s="12" t="s">
        <v>96</v>
      </c>
      <c r="B32" s="13" t="s">
        <v>96</v>
      </c>
      <c r="C32" s="80" t="s">
        <v>123</v>
      </c>
      <c r="D32" s="80" t="s">
        <v>123</v>
      </c>
      <c r="E32" s="80" t="s">
        <v>123</v>
      </c>
      <c r="F32" s="80" t="s">
        <v>123</v>
      </c>
      <c r="G32" s="80" t="s">
        <v>123</v>
      </c>
      <c r="H32" s="80" t="s">
        <v>123</v>
      </c>
      <c r="I32" s="80" t="s">
        <v>123</v>
      </c>
      <c r="J32" s="80" t="s">
        <v>123</v>
      </c>
      <c r="K32" s="80" t="s">
        <v>123</v>
      </c>
      <c r="L32" s="80" t="s">
        <v>123</v>
      </c>
      <c r="M32" s="80" t="s">
        <v>123</v>
      </c>
      <c r="N32" s="80" t="s">
        <v>123</v>
      </c>
      <c r="O32" s="80" t="s">
        <v>123</v>
      </c>
      <c r="P32" s="80" t="s">
        <v>123</v>
      </c>
      <c r="Q32" s="80" t="s">
        <v>123</v>
      </c>
      <c r="R32" s="80" t="s">
        <v>123</v>
      </c>
      <c r="S32" s="77">
        <v>-932</v>
      </c>
      <c r="T32" s="77">
        <v>-1240</v>
      </c>
      <c r="U32" s="77">
        <v>-1124</v>
      </c>
      <c r="V32" s="77">
        <v>-1405</v>
      </c>
      <c r="W32" s="77">
        <v>-801</v>
      </c>
      <c r="X32" s="77">
        <v>-730</v>
      </c>
      <c r="Y32" s="77">
        <v>-684</v>
      </c>
      <c r="Z32" s="77">
        <v>-902</v>
      </c>
      <c r="AA32" s="77">
        <v>-400</v>
      </c>
      <c r="AB32" s="17"/>
      <c r="AD32" s="17"/>
      <c r="AE32" s="17"/>
    </row>
    <row r="33" spans="1:31" s="6" customFormat="1" ht="9.6">
      <c r="A33" s="6" t="s">
        <v>269</v>
      </c>
      <c r="B33" s="13" t="s">
        <v>90</v>
      </c>
      <c r="C33" s="77">
        <v>-518</v>
      </c>
      <c r="D33" s="77">
        <v>-971</v>
      </c>
      <c r="E33" s="77">
        <v>-625</v>
      </c>
      <c r="F33" s="77">
        <v>-538</v>
      </c>
      <c r="G33" s="77">
        <v>-570</v>
      </c>
      <c r="H33" s="77">
        <v>-818</v>
      </c>
      <c r="I33" s="77">
        <v>-475</v>
      </c>
      <c r="J33" s="77">
        <v>-1092</v>
      </c>
      <c r="K33" s="77">
        <v>-1715</v>
      </c>
      <c r="L33" s="77">
        <v>-2355</v>
      </c>
      <c r="M33" s="77">
        <v>-2475</v>
      </c>
      <c r="N33" s="77">
        <v>-2160</v>
      </c>
      <c r="O33" s="77">
        <v>-2159</v>
      </c>
      <c r="P33" s="77">
        <v>-3386</v>
      </c>
      <c r="Q33" s="77">
        <v>-2794</v>
      </c>
      <c r="R33" s="77">
        <v>-3878</v>
      </c>
      <c r="S33" s="77">
        <v>-3006</v>
      </c>
      <c r="T33" s="77">
        <v>-3104</v>
      </c>
      <c r="U33" s="77">
        <v>-4148</v>
      </c>
      <c r="V33" s="77">
        <v>-1866</v>
      </c>
      <c r="W33" s="77">
        <v>-4022</v>
      </c>
      <c r="X33" s="77">
        <v>-1546</v>
      </c>
      <c r="Y33" s="77">
        <v>-1551</v>
      </c>
      <c r="Z33" s="77">
        <v>396</v>
      </c>
      <c r="AA33" s="77">
        <v>-615</v>
      </c>
      <c r="AB33" s="17"/>
      <c r="AD33" s="17"/>
      <c r="AE33" s="17"/>
    </row>
    <row r="34" spans="1:31" s="6" customFormat="1" ht="9.6">
      <c r="A34" s="6" t="s">
        <v>270</v>
      </c>
      <c r="B34" s="13" t="s">
        <v>82</v>
      </c>
      <c r="C34" s="82">
        <v>-98956</v>
      </c>
      <c r="D34" s="82">
        <v>-106947</v>
      </c>
      <c r="E34" s="82">
        <v>-104140</v>
      </c>
      <c r="F34" s="82">
        <v>-98923</v>
      </c>
      <c r="G34" s="82">
        <v>-26061</v>
      </c>
      <c r="H34" s="82">
        <v>-26851</v>
      </c>
      <c r="I34" s="82">
        <v>-32326</v>
      </c>
      <c r="J34" s="82">
        <v>-67824</v>
      </c>
      <c r="K34" s="82">
        <v>-83091</v>
      </c>
      <c r="L34" s="82">
        <v>-55344</v>
      </c>
      <c r="M34" s="82">
        <v>-48143</v>
      </c>
      <c r="N34" s="82">
        <v>-62599</v>
      </c>
      <c r="O34" s="82">
        <v>-71122</v>
      </c>
      <c r="P34" s="82">
        <v>-88492</v>
      </c>
      <c r="Q34" s="82">
        <v>-85868</v>
      </c>
      <c r="R34" s="82">
        <v>-91585</v>
      </c>
      <c r="S34" s="82">
        <v>-89569</v>
      </c>
      <c r="T34" s="82">
        <v>-87538</v>
      </c>
      <c r="U34" s="82">
        <v>-93500</v>
      </c>
      <c r="V34" s="82">
        <v>-92371</v>
      </c>
      <c r="W34" s="82">
        <f>SUM(W35:W36)</f>
        <v>-74284</v>
      </c>
      <c r="X34" s="82">
        <f>SUM(X35:X36)</f>
        <v>-55573</v>
      </c>
      <c r="Y34" s="82">
        <v>-36236</v>
      </c>
      <c r="Z34" s="82">
        <f>SUM(Z35:Z36)</f>
        <v>-33682</v>
      </c>
      <c r="AA34" s="82">
        <f>SUM(AA35:AA36)</f>
        <v>-42664</v>
      </c>
      <c r="AB34" s="17"/>
      <c r="AD34" s="17"/>
      <c r="AE34" s="17"/>
    </row>
    <row r="35" spans="1:31" s="6" customFormat="1" ht="9.6">
      <c r="A35" s="6" t="s">
        <v>271</v>
      </c>
      <c r="B35" s="13" t="s">
        <v>97</v>
      </c>
      <c r="C35" s="77">
        <v>-10964</v>
      </c>
      <c r="D35" s="77">
        <v>-10306</v>
      </c>
      <c r="E35" s="77">
        <v>-8782</v>
      </c>
      <c r="F35" s="77">
        <v>-7839</v>
      </c>
      <c r="G35" s="77">
        <v>-7621</v>
      </c>
      <c r="H35" s="77">
        <v>-8391</v>
      </c>
      <c r="I35" s="77">
        <v>-11024</v>
      </c>
      <c r="J35" s="77">
        <v>-21366</v>
      </c>
      <c r="K35" s="77">
        <v>-24479</v>
      </c>
      <c r="L35" s="77">
        <v>-26108</v>
      </c>
      <c r="M35" s="77">
        <v>-28681</v>
      </c>
      <c r="N35" s="77">
        <v>-42104</v>
      </c>
      <c r="O35" s="77">
        <v>-45110</v>
      </c>
      <c r="P35" s="85">
        <v>-46479</v>
      </c>
      <c r="Q35" s="85">
        <v>-58092</v>
      </c>
      <c r="R35" s="77">
        <v>-65104</v>
      </c>
      <c r="S35" s="77">
        <v>-66053</v>
      </c>
      <c r="T35" s="77">
        <v>-64506</v>
      </c>
      <c r="U35" s="77">
        <v>-62693</v>
      </c>
      <c r="V35" s="77">
        <v>-64888</v>
      </c>
      <c r="W35" s="77">
        <v>-63836</v>
      </c>
      <c r="X35" s="77">
        <v>-40349</v>
      </c>
      <c r="Y35" s="77">
        <v>-14695</v>
      </c>
      <c r="Z35" s="77">
        <v>-7086</v>
      </c>
      <c r="AA35" s="77">
        <v>-6461</v>
      </c>
      <c r="AB35" s="17"/>
      <c r="AD35" s="17"/>
      <c r="AE35" s="17"/>
    </row>
    <row r="36" spans="1:31" s="6" customFormat="1" ht="9.6">
      <c r="A36" s="6" t="s">
        <v>264</v>
      </c>
      <c r="B36" s="13" t="s">
        <v>100</v>
      </c>
      <c r="C36" s="77">
        <v>-87992</v>
      </c>
      <c r="D36" s="77">
        <v>-96641</v>
      </c>
      <c r="E36" s="77">
        <v>-95358</v>
      </c>
      <c r="F36" s="77">
        <v>-91084</v>
      </c>
      <c r="G36" s="77">
        <v>-18440</v>
      </c>
      <c r="H36" s="77">
        <v>-18460</v>
      </c>
      <c r="I36" s="77">
        <v>-21302</v>
      </c>
      <c r="J36" s="77">
        <v>-46458</v>
      </c>
      <c r="K36" s="77">
        <v>-58612</v>
      </c>
      <c r="L36" s="77">
        <v>-29236</v>
      </c>
      <c r="M36" s="77">
        <v>-19462</v>
      </c>
      <c r="N36" s="77">
        <v>-20495</v>
      </c>
      <c r="O36" s="77">
        <v>-26012</v>
      </c>
      <c r="P36" s="77">
        <v>-42013</v>
      </c>
      <c r="Q36" s="77">
        <v>-27776</v>
      </c>
      <c r="R36" s="77">
        <v>-26481</v>
      </c>
      <c r="S36" s="77">
        <v>-23516</v>
      </c>
      <c r="T36" s="77">
        <v>-23032</v>
      </c>
      <c r="U36" s="77">
        <v>-30807</v>
      </c>
      <c r="V36" s="77">
        <v>-27483</v>
      </c>
      <c r="W36" s="77">
        <v>-10448</v>
      </c>
      <c r="X36" s="77">
        <v>-15224</v>
      </c>
      <c r="Y36" s="77">
        <v>-21541</v>
      </c>
      <c r="Z36" s="77">
        <v>-26596</v>
      </c>
      <c r="AA36" s="77">
        <v>-36203</v>
      </c>
      <c r="AB36" s="17"/>
      <c r="AD36" s="17"/>
      <c r="AE36" s="17"/>
    </row>
    <row r="37" spans="1:31" s="6" customFormat="1" thickBot="1">
      <c r="A37" s="6" t="s">
        <v>232</v>
      </c>
      <c r="B37" s="39" t="s">
        <v>2</v>
      </c>
      <c r="C37" s="43">
        <f t="shared" ref="C37:N37" si="6">C3+C26</f>
        <v>344304</v>
      </c>
      <c r="D37" s="43">
        <f t="shared" si="6"/>
        <v>373410</v>
      </c>
      <c r="E37" s="43">
        <f t="shared" si="6"/>
        <v>383724</v>
      </c>
      <c r="F37" s="43">
        <f t="shared" si="6"/>
        <v>399575</v>
      </c>
      <c r="G37" s="43">
        <f t="shared" si="6"/>
        <v>412494</v>
      </c>
      <c r="H37" s="43">
        <f t="shared" si="6"/>
        <v>444173</v>
      </c>
      <c r="I37" s="43">
        <f t="shared" si="6"/>
        <v>490510</v>
      </c>
      <c r="J37" s="43">
        <f t="shared" si="6"/>
        <v>598872</v>
      </c>
      <c r="K37" s="43">
        <f t="shared" si="6"/>
        <v>663013</v>
      </c>
      <c r="L37" s="43">
        <f t="shared" si="6"/>
        <v>722655</v>
      </c>
      <c r="M37" s="43">
        <f t="shared" si="6"/>
        <v>728128</v>
      </c>
      <c r="N37" s="43">
        <f t="shared" si="6"/>
        <v>742345</v>
      </c>
      <c r="O37" s="43">
        <f t="shared" ref="O37:T37" si="7">O3+O22+O26</f>
        <v>737652</v>
      </c>
      <c r="P37" s="43">
        <f t="shared" si="7"/>
        <v>763288</v>
      </c>
      <c r="Q37" s="43">
        <f t="shared" si="7"/>
        <v>782696</v>
      </c>
      <c r="R37" s="43">
        <f t="shared" si="7"/>
        <v>800888</v>
      </c>
      <c r="S37" s="43">
        <f t="shared" si="7"/>
        <v>803807</v>
      </c>
      <c r="T37" s="43">
        <f t="shared" si="7"/>
        <v>829175</v>
      </c>
      <c r="U37" s="43">
        <f>U3+U22+U26</f>
        <v>803011</v>
      </c>
      <c r="V37" s="43">
        <f>V3+V22+V26</f>
        <v>747672</v>
      </c>
      <c r="W37" s="43">
        <f>W3+W22+W26</f>
        <v>776884</v>
      </c>
      <c r="X37" s="43">
        <f>X3+X22+X26</f>
        <v>721981</v>
      </c>
      <c r="Y37" s="43">
        <v>683115</v>
      </c>
      <c r="Z37" s="43">
        <f t="shared" ref="Z37" si="8">Z3+Z22+Z26</f>
        <v>666746</v>
      </c>
      <c r="AA37" s="43">
        <f t="shared" ref="AA37" si="9">AA3+AA22+AA26</f>
        <v>670178</v>
      </c>
      <c r="AB37" s="17"/>
      <c r="AD37" s="17"/>
      <c r="AE37" s="17"/>
    </row>
    <row r="38" spans="1:3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70"/>
      <c r="AA38" s="17"/>
      <c r="AB38" s="17"/>
    </row>
    <row r="39" spans="1:31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</row>
    <row r="40" spans="1:31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</row>
    <row r="41" spans="1:31">
      <c r="S41" s="1"/>
      <c r="AA41" s="17"/>
      <c r="AB41" s="17"/>
    </row>
    <row r="42" spans="1:31">
      <c r="S42" s="1"/>
      <c r="AA42" s="17"/>
      <c r="AB42" s="17"/>
    </row>
    <row r="43" spans="1:31">
      <c r="O43" s="3"/>
      <c r="P43" s="3"/>
      <c r="Q43" s="3"/>
      <c r="R43" s="3"/>
      <c r="S43" s="3"/>
      <c r="T43" s="3"/>
      <c r="AA43" s="17"/>
      <c r="AB43" s="17"/>
    </row>
    <row r="44" spans="1:31">
      <c r="O44" s="2"/>
      <c r="P44" s="2"/>
      <c r="Q44" s="2"/>
      <c r="R44" s="2"/>
      <c r="S44" s="2"/>
      <c r="T44" s="2"/>
      <c r="AA44" s="17"/>
      <c r="AB44" s="17"/>
    </row>
    <row r="45" spans="1:31">
      <c r="S45" s="1"/>
      <c r="AA45" s="17"/>
      <c r="AB45" s="17"/>
    </row>
    <row r="46" spans="1:31">
      <c r="O46" s="3"/>
      <c r="P46" s="3"/>
      <c r="Q46" s="3"/>
      <c r="R46" s="3"/>
      <c r="S46" s="3"/>
      <c r="T46" s="3"/>
      <c r="U46" s="1"/>
      <c r="V46" s="1"/>
      <c r="AA46" s="17"/>
    </row>
    <row r="47" spans="1:31">
      <c r="O47" s="2"/>
      <c r="P47" s="2"/>
      <c r="Q47" s="2"/>
      <c r="R47" s="2"/>
      <c r="S47" s="2"/>
      <c r="T47" s="2"/>
      <c r="AA47" s="17"/>
    </row>
    <row r="48" spans="1:31">
      <c r="S48" s="1"/>
      <c r="AA48" s="17"/>
    </row>
    <row r="49" spans="15:27">
      <c r="O49" s="3"/>
      <c r="P49" s="3"/>
      <c r="Q49" s="3"/>
      <c r="R49" s="3"/>
      <c r="S49" s="3"/>
      <c r="T49" s="3"/>
      <c r="AA49" s="17"/>
    </row>
    <row r="50" spans="15:27">
      <c r="O50" s="2"/>
      <c r="P50" s="2"/>
      <c r="Q50" s="2"/>
      <c r="R50" s="2"/>
      <c r="S50" s="2"/>
      <c r="T50" s="2"/>
      <c r="AA50" s="17"/>
    </row>
    <row r="51" spans="15:27">
      <c r="S51" s="1"/>
      <c r="AA51" s="17"/>
    </row>
    <row r="52" spans="15:27">
      <c r="AA52" s="17"/>
    </row>
    <row r="53" spans="15:27">
      <c r="AA53" s="17"/>
    </row>
    <row r="54" spans="15:27">
      <c r="AA54" s="17"/>
    </row>
    <row r="55" spans="15:27">
      <c r="AA55" s="17"/>
    </row>
    <row r="56" spans="15:27">
      <c r="AA56" s="17"/>
    </row>
    <row r="57" spans="15:27">
      <c r="AA57" s="17"/>
    </row>
    <row r="58" spans="15:27">
      <c r="AA58" s="17"/>
    </row>
    <row r="59" spans="15:27">
      <c r="AA59" s="17"/>
    </row>
    <row r="60" spans="15:27">
      <c r="AA60" s="17"/>
    </row>
    <row r="61" spans="15:27">
      <c r="AA61" s="17"/>
    </row>
    <row r="62" spans="15:27">
      <c r="AA62" s="17"/>
    </row>
    <row r="63" spans="15:27">
      <c r="AA63" s="17"/>
    </row>
    <row r="64" spans="15:27">
      <c r="AA64" s="17"/>
    </row>
    <row r="65" spans="27:27">
      <c r="AA65" s="17"/>
    </row>
    <row r="66" spans="27:27">
      <c r="AA66" s="17"/>
    </row>
    <row r="67" spans="27:27">
      <c r="AA67" s="17"/>
    </row>
    <row r="68" spans="27:27">
      <c r="AA68" s="17"/>
    </row>
    <row r="69" spans="27:27">
      <c r="AA69" s="17"/>
    </row>
    <row r="70" spans="27:27">
      <c r="AA70" s="17"/>
    </row>
    <row r="71" spans="27:27">
      <c r="AA71" s="17"/>
    </row>
    <row r="72" spans="27:27">
      <c r="AA72" s="17"/>
    </row>
    <row r="73" spans="27:27">
      <c r="AA73" s="17"/>
    </row>
    <row r="74" spans="27:27">
      <c r="AA74" s="17"/>
    </row>
    <row r="75" spans="27:27">
      <c r="AA75" s="17"/>
    </row>
    <row r="76" spans="27:27">
      <c r="AA76" s="17"/>
    </row>
    <row r="77" spans="27:27">
      <c r="AA77" s="17"/>
    </row>
    <row r="78" spans="27:27">
      <c r="AA78" s="17"/>
    </row>
    <row r="79" spans="27:27">
      <c r="AA79" s="17"/>
    </row>
    <row r="80" spans="27:27">
      <c r="AA80" s="17"/>
    </row>
    <row r="81" spans="27:27">
      <c r="AA81" s="17"/>
    </row>
    <row r="82" spans="27:27">
      <c r="AA82" s="17"/>
    </row>
    <row r="83" spans="27:27">
      <c r="AA83" s="17"/>
    </row>
    <row r="84" spans="27:27">
      <c r="AA84" s="17"/>
    </row>
    <row r="85" spans="27:27">
      <c r="AA85" s="17"/>
    </row>
    <row r="86" spans="27:27">
      <c r="AA86" s="17"/>
    </row>
    <row r="87" spans="27:27">
      <c r="AA87" s="17"/>
    </row>
    <row r="88" spans="27:27">
      <c r="AA88" s="17"/>
    </row>
    <row r="89" spans="27:27">
      <c r="AA89" s="17"/>
    </row>
    <row r="90" spans="27:27">
      <c r="AA90" s="17"/>
    </row>
    <row r="91" spans="27:27">
      <c r="AA91" s="17"/>
    </row>
    <row r="92" spans="27:27">
      <c r="AA92" s="17"/>
    </row>
    <row r="93" spans="27:27">
      <c r="AA93" s="17"/>
    </row>
    <row r="94" spans="27:27">
      <c r="AA94" s="17"/>
    </row>
    <row r="95" spans="27:27">
      <c r="AA95" s="17"/>
    </row>
    <row r="96" spans="27:27">
      <c r="AA96" s="17"/>
    </row>
    <row r="97" spans="27:27">
      <c r="AA97" s="17"/>
    </row>
    <row r="98" spans="27:27">
      <c r="AA98" s="17"/>
    </row>
    <row r="99" spans="27:27">
      <c r="AA99" s="17"/>
    </row>
    <row r="100" spans="27:27">
      <c r="AA100" s="17"/>
    </row>
    <row r="101" spans="27:27">
      <c r="AA101" s="17"/>
    </row>
    <row r="102" spans="27:27">
      <c r="AA102" s="17"/>
    </row>
    <row r="103" spans="27:27">
      <c r="AA103" s="17"/>
    </row>
    <row r="104" spans="27:27">
      <c r="AA104" s="17"/>
    </row>
    <row r="105" spans="27:27">
      <c r="AA105" s="17"/>
    </row>
    <row r="106" spans="27:27">
      <c r="AA106" s="17"/>
    </row>
    <row r="107" spans="27:27">
      <c r="AA107" s="17"/>
    </row>
    <row r="108" spans="27:27">
      <c r="AA108" s="17"/>
    </row>
    <row r="109" spans="27:27">
      <c r="AA109" s="17"/>
    </row>
    <row r="110" spans="27:27">
      <c r="AA110" s="17"/>
    </row>
    <row r="111" spans="27:27">
      <c r="AA111" s="17"/>
    </row>
    <row r="112" spans="27:27">
      <c r="AA112" s="17"/>
    </row>
    <row r="113" spans="27:27">
      <c r="AA113" s="17"/>
    </row>
    <row r="114" spans="27:27">
      <c r="AA114" s="17"/>
    </row>
    <row r="115" spans="27:27">
      <c r="AA115" s="17"/>
    </row>
    <row r="116" spans="27:27">
      <c r="AA116" s="17"/>
    </row>
    <row r="117" spans="27:27">
      <c r="AA117" s="17"/>
    </row>
    <row r="118" spans="27:27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1"/>
  <sheetViews>
    <sheetView topLeftCell="A2" zoomScale="90" zoomScaleNormal="90" workbookViewId="0">
      <pane xSplit="2" ySplit="2" topLeftCell="W4" activePane="bottomRight" state="frozen"/>
      <selection activeCell="A2" sqref="A2"/>
      <selection pane="topRight" activeCell="C2" sqref="C2"/>
      <selection pane="bottomLeft" activeCell="A4" sqref="A4"/>
      <selection pane="bottomRight" activeCell="A2" sqref="A2"/>
    </sheetView>
  </sheetViews>
  <sheetFormatPr defaultColWidth="9.28515625" defaultRowHeight="9.6"/>
  <cols>
    <col min="1" max="1" width="37" style="6" customWidth="1"/>
    <col min="2" max="2" width="37.28515625" style="6" customWidth="1"/>
    <col min="3" max="22" width="10.28515625" style="6" customWidth="1"/>
    <col min="23" max="27" width="13.5703125" style="6" customWidth="1"/>
    <col min="28" max="36" width="9.28515625" style="6"/>
    <col min="37" max="37" width="11.7109375" style="6" bestFit="1" customWidth="1"/>
    <col min="38" max="16384" width="9.28515625" style="6"/>
  </cols>
  <sheetData>
    <row r="1" spans="1:37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0.199999999999999" thickBot="1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37" ht="19.8" thickBot="1">
      <c r="B3" s="5"/>
      <c r="C3" s="5" t="s">
        <v>14</v>
      </c>
      <c r="D3" s="5" t="s">
        <v>17</v>
      </c>
      <c r="E3" s="5" t="s">
        <v>12</v>
      </c>
      <c r="F3" s="5" t="s">
        <v>11</v>
      </c>
      <c r="G3" s="5" t="s">
        <v>15</v>
      </c>
      <c r="H3" s="5" t="s">
        <v>16</v>
      </c>
      <c r="I3" s="5" t="s">
        <v>18</v>
      </c>
      <c r="J3" s="5" t="s">
        <v>20</v>
      </c>
      <c r="K3" s="5" t="s">
        <v>21</v>
      </c>
      <c r="L3" s="5" t="s">
        <v>22</v>
      </c>
      <c r="M3" s="5" t="s">
        <v>24</v>
      </c>
      <c r="N3" s="5" t="s">
        <v>25</v>
      </c>
      <c r="O3" s="5" t="s">
        <v>30</v>
      </c>
      <c r="P3" s="5" t="s">
        <v>31</v>
      </c>
      <c r="Q3" s="5" t="s">
        <v>32</v>
      </c>
      <c r="R3" s="5" t="s">
        <v>34</v>
      </c>
      <c r="S3" s="5" t="s">
        <v>36</v>
      </c>
      <c r="T3" s="5" t="s">
        <v>37</v>
      </c>
      <c r="U3" s="5" t="s">
        <v>180</v>
      </c>
      <c r="V3" s="5" t="s">
        <v>353</v>
      </c>
      <c r="W3" s="45" t="s">
        <v>358</v>
      </c>
      <c r="X3" s="45" t="s">
        <v>364</v>
      </c>
      <c r="Y3" s="45" t="s">
        <v>370</v>
      </c>
      <c r="Z3" s="45" t="s">
        <v>374</v>
      </c>
      <c r="AA3" s="45" t="s">
        <v>392</v>
      </c>
      <c r="AK3" s="44"/>
    </row>
    <row r="4" spans="1:37" ht="10.199999999999999" thickBot="1">
      <c r="A4" s="6" t="s">
        <v>233</v>
      </c>
      <c r="B4" s="39" t="s">
        <v>4</v>
      </c>
      <c r="C4" s="43">
        <f t="shared" ref="C4:N4" si="0">SUM(C5:C18)</f>
        <v>135582</v>
      </c>
      <c r="D4" s="43">
        <f t="shared" si="0"/>
        <v>124811</v>
      </c>
      <c r="E4" s="43">
        <f t="shared" si="0"/>
        <v>144977</v>
      </c>
      <c r="F4" s="43">
        <f t="shared" si="0"/>
        <v>140360</v>
      </c>
      <c r="G4" s="43">
        <f t="shared" si="0"/>
        <v>137970</v>
      </c>
      <c r="H4" s="43">
        <f t="shared" si="0"/>
        <v>137134</v>
      </c>
      <c r="I4" s="43">
        <f t="shared" si="0"/>
        <v>135490</v>
      </c>
      <c r="J4" s="43">
        <f t="shared" si="0"/>
        <v>180107</v>
      </c>
      <c r="K4" s="43">
        <f t="shared" si="0"/>
        <v>189088</v>
      </c>
      <c r="L4" s="43">
        <f t="shared" si="0"/>
        <v>203275</v>
      </c>
      <c r="M4" s="43">
        <f t="shared" si="0"/>
        <v>201424</v>
      </c>
      <c r="N4" s="43">
        <f t="shared" si="0"/>
        <v>211816</v>
      </c>
      <c r="O4" s="43">
        <f>SUM(O5:O18)</f>
        <v>264369</v>
      </c>
      <c r="P4" s="43">
        <f t="shared" ref="P4:U4" si="1">SUM(P5:P18)</f>
        <v>265023</v>
      </c>
      <c r="Q4" s="43">
        <f t="shared" si="1"/>
        <v>283467</v>
      </c>
      <c r="R4" s="43">
        <f t="shared" si="1"/>
        <v>286609</v>
      </c>
      <c r="S4" s="43">
        <f t="shared" si="1"/>
        <v>266948</v>
      </c>
      <c r="T4" s="43">
        <f t="shared" si="1"/>
        <v>284261</v>
      </c>
      <c r="U4" s="43">
        <f t="shared" si="1"/>
        <v>302209</v>
      </c>
      <c r="V4" s="43">
        <f>SUM(V5:V18)</f>
        <v>305421</v>
      </c>
      <c r="W4" s="43">
        <f>SUM(W5:W18)</f>
        <v>269347</v>
      </c>
      <c r="X4" s="43">
        <f>SUM(X5:X18)</f>
        <v>294250</v>
      </c>
      <c r="Y4" s="43">
        <v>329428</v>
      </c>
      <c r="Z4" s="43">
        <f>SUM(Z5:Z18)</f>
        <v>322724</v>
      </c>
      <c r="AA4" s="43">
        <f>SUM(AA5:AA18)</f>
        <v>316398</v>
      </c>
      <c r="AB4" s="17"/>
      <c r="AC4" s="17"/>
      <c r="AD4" s="17"/>
      <c r="AE4" s="17"/>
      <c r="AK4" s="42"/>
    </row>
    <row r="5" spans="1:37">
      <c r="A5" s="6" t="s">
        <v>272</v>
      </c>
      <c r="B5" s="86" t="s">
        <v>101</v>
      </c>
      <c r="C5" s="77">
        <v>20404</v>
      </c>
      <c r="D5" s="77">
        <v>21489</v>
      </c>
      <c r="E5" s="77">
        <v>24079</v>
      </c>
      <c r="F5" s="77">
        <v>23939</v>
      </c>
      <c r="G5" s="77">
        <v>24484</v>
      </c>
      <c r="H5" s="77">
        <v>24671</v>
      </c>
      <c r="I5" s="77">
        <v>23237</v>
      </c>
      <c r="J5" s="77">
        <v>41840</v>
      </c>
      <c r="K5" s="77">
        <v>45504</v>
      </c>
      <c r="L5" s="77">
        <v>53075</v>
      </c>
      <c r="M5" s="77">
        <v>55660</v>
      </c>
      <c r="N5" s="77">
        <v>58363</v>
      </c>
      <c r="O5" s="77">
        <v>56686</v>
      </c>
      <c r="P5" s="77">
        <v>62435</v>
      </c>
      <c r="Q5" s="77">
        <v>65619</v>
      </c>
      <c r="R5" s="77">
        <v>69680</v>
      </c>
      <c r="S5" s="77">
        <v>65133</v>
      </c>
      <c r="T5" s="77">
        <v>79151</v>
      </c>
      <c r="U5" s="77">
        <v>86470</v>
      </c>
      <c r="V5" s="77">
        <v>88899</v>
      </c>
      <c r="W5" s="77">
        <v>85160</v>
      </c>
      <c r="X5" s="77">
        <v>94715</v>
      </c>
      <c r="Y5" s="77">
        <v>110226</v>
      </c>
      <c r="Z5" s="77">
        <v>106753</v>
      </c>
      <c r="AA5" s="77">
        <v>100429</v>
      </c>
      <c r="AB5" s="17"/>
      <c r="AC5" s="17"/>
      <c r="AD5" s="17"/>
      <c r="AE5" s="17"/>
      <c r="AK5" s="42"/>
    </row>
    <row r="6" spans="1:37" ht="19.2">
      <c r="A6" s="6" t="s">
        <v>273</v>
      </c>
      <c r="B6" s="86" t="s">
        <v>102</v>
      </c>
      <c r="C6" s="80" t="s">
        <v>123</v>
      </c>
      <c r="D6" s="80" t="s">
        <v>123</v>
      </c>
      <c r="E6" s="80" t="s">
        <v>123</v>
      </c>
      <c r="F6" s="80" t="s">
        <v>123</v>
      </c>
      <c r="G6" s="80" t="s">
        <v>123</v>
      </c>
      <c r="H6" s="80" t="s">
        <v>123</v>
      </c>
      <c r="I6" s="80" t="s">
        <v>123</v>
      </c>
      <c r="J6" s="80" t="s">
        <v>123</v>
      </c>
      <c r="K6" s="80" t="s">
        <v>123</v>
      </c>
      <c r="L6" s="80" t="s">
        <v>123</v>
      </c>
      <c r="M6" s="80" t="s">
        <v>123</v>
      </c>
      <c r="N6" s="80" t="s">
        <v>123</v>
      </c>
      <c r="O6" s="77">
        <v>67644</v>
      </c>
      <c r="P6" s="77">
        <v>64495</v>
      </c>
      <c r="Q6" s="77">
        <v>71232</v>
      </c>
      <c r="R6" s="77">
        <v>70535</v>
      </c>
      <c r="S6" s="77">
        <v>68435</v>
      </c>
      <c r="T6" s="77">
        <v>75862</v>
      </c>
      <c r="U6" s="77">
        <v>81832</v>
      </c>
      <c r="V6" s="77">
        <v>69959</v>
      </c>
      <c r="W6" s="77">
        <v>48546</v>
      </c>
      <c r="X6" s="77">
        <v>57203</v>
      </c>
      <c r="Y6" s="77">
        <v>69259</v>
      </c>
      <c r="Z6" s="77">
        <v>53497</v>
      </c>
      <c r="AA6" s="77">
        <v>53270</v>
      </c>
      <c r="AB6" s="17"/>
      <c r="AC6" s="17"/>
      <c r="AD6" s="17"/>
      <c r="AE6" s="17"/>
      <c r="AK6" s="42"/>
    </row>
    <row r="7" spans="1:37">
      <c r="A7" s="6" t="s">
        <v>274</v>
      </c>
      <c r="B7" s="86" t="s">
        <v>103</v>
      </c>
      <c r="C7" s="77">
        <v>18796</v>
      </c>
      <c r="D7" s="77">
        <v>21052</v>
      </c>
      <c r="E7" s="77">
        <v>23197</v>
      </c>
      <c r="F7" s="77">
        <v>22288</v>
      </c>
      <c r="G7" s="77">
        <v>25362</v>
      </c>
      <c r="H7" s="77">
        <v>26311</v>
      </c>
      <c r="I7" s="77">
        <v>28152</v>
      </c>
      <c r="J7" s="77">
        <v>31122</v>
      </c>
      <c r="K7" s="77">
        <v>38107</v>
      </c>
      <c r="L7" s="77">
        <v>33946</v>
      </c>
      <c r="M7" s="77">
        <v>32473</v>
      </c>
      <c r="N7" s="77">
        <v>32332</v>
      </c>
      <c r="O7" s="77">
        <v>30218</v>
      </c>
      <c r="P7" s="77">
        <v>27939</v>
      </c>
      <c r="Q7" s="77">
        <v>30320</v>
      </c>
      <c r="R7" s="77">
        <v>30759</v>
      </c>
      <c r="S7" s="77">
        <v>26815</v>
      </c>
      <c r="T7" s="77">
        <v>25930</v>
      </c>
      <c r="U7" s="77">
        <v>24598</v>
      </c>
      <c r="V7" s="77">
        <v>24197</v>
      </c>
      <c r="W7" s="77">
        <v>24217</v>
      </c>
      <c r="X7" s="77">
        <v>25751</v>
      </c>
      <c r="Y7" s="77">
        <v>26211</v>
      </c>
      <c r="Z7" s="77">
        <v>28922</v>
      </c>
      <c r="AA7" s="77">
        <v>26981</v>
      </c>
      <c r="AB7" s="17"/>
      <c r="AC7" s="17"/>
      <c r="AD7" s="17"/>
      <c r="AE7" s="17"/>
      <c r="AK7" s="42"/>
    </row>
    <row r="8" spans="1:37">
      <c r="A8" s="6" t="s">
        <v>275</v>
      </c>
      <c r="B8" s="86" t="s">
        <v>104</v>
      </c>
      <c r="C8" s="77">
        <v>15738</v>
      </c>
      <c r="D8" s="77">
        <v>17413</v>
      </c>
      <c r="E8" s="77">
        <v>19453</v>
      </c>
      <c r="F8" s="77">
        <v>21142</v>
      </c>
      <c r="G8" s="77">
        <v>17457</v>
      </c>
      <c r="H8" s="77">
        <v>12972</v>
      </c>
      <c r="I8" s="77">
        <v>16597</v>
      </c>
      <c r="J8" s="77">
        <v>27379</v>
      </c>
      <c r="K8" s="77">
        <v>22796</v>
      </c>
      <c r="L8" s="77">
        <v>24541</v>
      </c>
      <c r="M8" s="77">
        <v>24925</v>
      </c>
      <c r="N8" s="77">
        <v>23885</v>
      </c>
      <c r="O8" s="77">
        <v>20065</v>
      </c>
      <c r="P8" s="77">
        <v>19268</v>
      </c>
      <c r="Q8" s="77">
        <v>17481</v>
      </c>
      <c r="R8" s="77">
        <v>9344</v>
      </c>
      <c r="S8" s="77">
        <v>7141</v>
      </c>
      <c r="T8" s="77">
        <v>6115</v>
      </c>
      <c r="U8" s="77">
        <v>4695</v>
      </c>
      <c r="V8" s="77">
        <v>5684</v>
      </c>
      <c r="W8" s="77">
        <v>10758</v>
      </c>
      <c r="X8" s="77">
        <v>13351</v>
      </c>
      <c r="Y8" s="77">
        <v>13883</v>
      </c>
      <c r="Z8" s="77">
        <v>17642</v>
      </c>
      <c r="AA8" s="77">
        <v>16160</v>
      </c>
      <c r="AB8" s="17"/>
      <c r="AC8" s="17"/>
      <c r="AD8" s="17"/>
      <c r="AE8" s="17"/>
      <c r="AK8" s="42"/>
    </row>
    <row r="9" spans="1:37" ht="19.2">
      <c r="A9" s="6" t="s">
        <v>276</v>
      </c>
      <c r="B9" s="86" t="s">
        <v>105</v>
      </c>
      <c r="C9" s="77">
        <v>34673</v>
      </c>
      <c r="D9" s="77">
        <v>10328</v>
      </c>
      <c r="E9" s="77">
        <v>25984</v>
      </c>
      <c r="F9" s="77">
        <v>23637</v>
      </c>
      <c r="G9" s="77">
        <v>21338</v>
      </c>
      <c r="H9" s="77">
        <v>28621</v>
      </c>
      <c r="I9" s="77">
        <v>13385</v>
      </c>
      <c r="J9" s="77">
        <v>11945</v>
      </c>
      <c r="K9" s="77">
        <v>17488</v>
      </c>
      <c r="L9" s="77">
        <v>24767</v>
      </c>
      <c r="M9" s="77">
        <v>21266</v>
      </c>
      <c r="N9" s="77">
        <v>24679</v>
      </c>
      <c r="O9" s="77">
        <v>20862</v>
      </c>
      <c r="P9" s="77">
        <v>15326</v>
      </c>
      <c r="Q9" s="77">
        <v>22817</v>
      </c>
      <c r="R9" s="77">
        <v>28630</v>
      </c>
      <c r="S9" s="77">
        <v>23703</v>
      </c>
      <c r="T9" s="77">
        <v>20798</v>
      </c>
      <c r="U9" s="77">
        <v>23587</v>
      </c>
      <c r="V9" s="77">
        <v>25146</v>
      </c>
      <c r="W9" s="77">
        <v>22480</v>
      </c>
      <c r="X9" s="77">
        <v>24105</v>
      </c>
      <c r="Y9" s="77">
        <v>31298</v>
      </c>
      <c r="Z9" s="77">
        <v>16104</v>
      </c>
      <c r="AA9" s="77">
        <v>25421</v>
      </c>
      <c r="AB9" s="17"/>
      <c r="AC9" s="17"/>
      <c r="AD9" s="17"/>
      <c r="AE9" s="17"/>
      <c r="AK9" s="42"/>
    </row>
    <row r="10" spans="1:37">
      <c r="A10" s="6" t="s">
        <v>277</v>
      </c>
      <c r="B10" s="86" t="s">
        <v>106</v>
      </c>
      <c r="C10" s="77">
        <v>16505</v>
      </c>
      <c r="D10" s="77">
        <v>17868</v>
      </c>
      <c r="E10" s="77">
        <v>17382</v>
      </c>
      <c r="F10" s="77">
        <v>14592</v>
      </c>
      <c r="G10" s="77">
        <v>13637</v>
      </c>
      <c r="H10" s="77">
        <v>14235</v>
      </c>
      <c r="I10" s="77">
        <v>16066</v>
      </c>
      <c r="J10" s="77">
        <v>19789</v>
      </c>
      <c r="K10" s="77">
        <v>20783</v>
      </c>
      <c r="L10" s="77">
        <v>22067</v>
      </c>
      <c r="M10" s="77">
        <v>21005</v>
      </c>
      <c r="N10" s="77">
        <v>25072</v>
      </c>
      <c r="O10" s="77">
        <v>25607</v>
      </c>
      <c r="P10" s="77">
        <v>31063</v>
      </c>
      <c r="Q10" s="77">
        <v>29308</v>
      </c>
      <c r="R10" s="77">
        <v>27925</v>
      </c>
      <c r="S10" s="77">
        <v>26064</v>
      </c>
      <c r="T10" s="77">
        <v>26803</v>
      </c>
      <c r="U10" s="77">
        <v>28331</v>
      </c>
      <c r="V10" s="77">
        <v>38153</v>
      </c>
      <c r="W10" s="77">
        <v>29690</v>
      </c>
      <c r="X10" s="77">
        <v>31547</v>
      </c>
      <c r="Y10" s="77">
        <v>28808</v>
      </c>
      <c r="Z10" s="77">
        <v>41280</v>
      </c>
      <c r="AA10" s="77">
        <v>35434</v>
      </c>
      <c r="AB10" s="17"/>
      <c r="AC10" s="17"/>
      <c r="AD10" s="17"/>
      <c r="AE10" s="17"/>
      <c r="AK10" s="42"/>
    </row>
    <row r="11" spans="1:37">
      <c r="A11" s="6" t="s">
        <v>278</v>
      </c>
      <c r="B11" s="86" t="s">
        <v>107</v>
      </c>
      <c r="C11" s="77">
        <v>8806</v>
      </c>
      <c r="D11" s="77">
        <v>9056</v>
      </c>
      <c r="E11" s="77">
        <v>9067</v>
      </c>
      <c r="F11" s="77">
        <v>9378</v>
      </c>
      <c r="G11" s="77">
        <v>8903</v>
      </c>
      <c r="H11" s="77">
        <v>9375</v>
      </c>
      <c r="I11" s="77">
        <v>9405</v>
      </c>
      <c r="J11" s="77">
        <v>13918</v>
      </c>
      <c r="K11" s="77">
        <v>15716</v>
      </c>
      <c r="L11" s="77">
        <v>16187</v>
      </c>
      <c r="M11" s="77">
        <v>15591</v>
      </c>
      <c r="N11" s="77">
        <v>15891</v>
      </c>
      <c r="O11" s="77">
        <v>15446</v>
      </c>
      <c r="P11" s="77">
        <v>15141</v>
      </c>
      <c r="Q11" s="77">
        <v>14692</v>
      </c>
      <c r="R11" s="77">
        <v>15214</v>
      </c>
      <c r="S11" s="77">
        <v>13259</v>
      </c>
      <c r="T11" s="77">
        <v>13283</v>
      </c>
      <c r="U11" s="77">
        <v>13170</v>
      </c>
      <c r="V11" s="77">
        <v>13311</v>
      </c>
      <c r="W11" s="77">
        <v>11582</v>
      </c>
      <c r="X11" s="77">
        <v>10819</v>
      </c>
      <c r="Y11" s="77">
        <v>12287</v>
      </c>
      <c r="Z11" s="77">
        <v>13998</v>
      </c>
      <c r="AA11" s="77">
        <v>12787</v>
      </c>
      <c r="AB11" s="17"/>
      <c r="AC11" s="17"/>
      <c r="AD11" s="17"/>
      <c r="AE11" s="17"/>
      <c r="AK11" s="42"/>
    </row>
    <row r="12" spans="1:37">
      <c r="A12" s="6" t="s">
        <v>279</v>
      </c>
      <c r="B12" s="86" t="s">
        <v>108</v>
      </c>
      <c r="C12" s="77">
        <v>4908</v>
      </c>
      <c r="D12" s="77">
        <v>5319</v>
      </c>
      <c r="E12" s="77">
        <v>5651</v>
      </c>
      <c r="F12" s="77">
        <v>5526</v>
      </c>
      <c r="G12" s="77">
        <v>5070</v>
      </c>
      <c r="H12" s="77">
        <v>5868</v>
      </c>
      <c r="I12" s="77">
        <v>7266</v>
      </c>
      <c r="J12" s="77">
        <v>9164</v>
      </c>
      <c r="K12" s="77">
        <v>9339</v>
      </c>
      <c r="L12" s="77">
        <v>11965</v>
      </c>
      <c r="M12" s="77">
        <v>12209</v>
      </c>
      <c r="N12" s="77">
        <v>12517</v>
      </c>
      <c r="O12" s="77">
        <v>10313</v>
      </c>
      <c r="P12" s="77">
        <v>10757</v>
      </c>
      <c r="Q12" s="77">
        <v>10717</v>
      </c>
      <c r="R12" s="77">
        <v>10179</v>
      </c>
      <c r="S12" s="77">
        <v>9412</v>
      </c>
      <c r="T12" s="77">
        <v>9853</v>
      </c>
      <c r="U12" s="77">
        <v>9983</v>
      </c>
      <c r="V12" s="77">
        <v>9416</v>
      </c>
      <c r="W12" s="77">
        <v>7581</v>
      </c>
      <c r="X12" s="77">
        <v>7912</v>
      </c>
      <c r="Y12" s="77">
        <v>9187</v>
      </c>
      <c r="Z12" s="77">
        <v>9644</v>
      </c>
      <c r="AA12" s="77">
        <v>8539</v>
      </c>
      <c r="AB12" s="17"/>
      <c r="AC12" s="17"/>
      <c r="AD12" s="17"/>
      <c r="AE12" s="17"/>
      <c r="AK12" s="42"/>
    </row>
    <row r="13" spans="1:37">
      <c r="A13" s="6" t="s">
        <v>280</v>
      </c>
      <c r="B13" s="86" t="s">
        <v>109</v>
      </c>
      <c r="C13" s="77">
        <v>3590</v>
      </c>
      <c r="D13" s="77">
        <v>3842</v>
      </c>
      <c r="E13" s="77">
        <v>3331</v>
      </c>
      <c r="F13" s="77">
        <v>4217</v>
      </c>
      <c r="G13" s="77">
        <v>3635</v>
      </c>
      <c r="H13" s="77">
        <v>3578</v>
      </c>
      <c r="I13" s="77">
        <v>3457</v>
      </c>
      <c r="J13" s="77">
        <v>3591</v>
      </c>
      <c r="K13" s="77">
        <v>2965</v>
      </c>
      <c r="L13" s="77">
        <v>3076</v>
      </c>
      <c r="M13" s="77">
        <v>3839</v>
      </c>
      <c r="N13" s="77">
        <v>3588</v>
      </c>
      <c r="O13" s="77">
        <v>3633</v>
      </c>
      <c r="P13" s="77">
        <v>3542</v>
      </c>
      <c r="Q13" s="77">
        <v>3797</v>
      </c>
      <c r="R13" s="77">
        <v>3550</v>
      </c>
      <c r="S13" s="77">
        <v>3187</v>
      </c>
      <c r="T13" s="77">
        <v>3165</v>
      </c>
      <c r="U13" s="77">
        <v>2834</v>
      </c>
      <c r="V13" s="77">
        <v>2822</v>
      </c>
      <c r="W13" s="77">
        <v>2673</v>
      </c>
      <c r="X13" s="77">
        <v>2660</v>
      </c>
      <c r="Y13" s="77">
        <v>2459</v>
      </c>
      <c r="Z13" s="77">
        <v>2681</v>
      </c>
      <c r="AA13" s="77">
        <v>3079</v>
      </c>
      <c r="AB13" s="17"/>
      <c r="AC13" s="17"/>
      <c r="AD13" s="17"/>
      <c r="AE13" s="17"/>
      <c r="AK13" s="42"/>
    </row>
    <row r="14" spans="1:37">
      <c r="A14" s="6" t="s">
        <v>281</v>
      </c>
      <c r="B14" s="86" t="s">
        <v>88</v>
      </c>
      <c r="C14" s="77">
        <v>2637</v>
      </c>
      <c r="D14" s="77">
        <v>4025</v>
      </c>
      <c r="E14" s="77">
        <v>2697</v>
      </c>
      <c r="F14" s="77">
        <v>2531</v>
      </c>
      <c r="G14" s="77">
        <v>1923</v>
      </c>
      <c r="H14" s="77">
        <v>2145</v>
      </c>
      <c r="I14" s="77">
        <v>1921</v>
      </c>
      <c r="J14" s="77">
        <v>2981</v>
      </c>
      <c r="K14" s="77">
        <v>3911</v>
      </c>
      <c r="L14" s="77">
        <v>3247</v>
      </c>
      <c r="M14" s="77">
        <v>2725</v>
      </c>
      <c r="N14" s="77">
        <v>3964</v>
      </c>
      <c r="O14" s="77">
        <v>2906</v>
      </c>
      <c r="P14" s="77">
        <v>2898</v>
      </c>
      <c r="Q14" s="77">
        <v>2721</v>
      </c>
      <c r="R14" s="77">
        <v>3162</v>
      </c>
      <c r="S14" s="77">
        <v>2612</v>
      </c>
      <c r="T14" s="77">
        <v>2964</v>
      </c>
      <c r="U14" s="77">
        <v>1760</v>
      </c>
      <c r="V14" s="77">
        <v>1705</v>
      </c>
      <c r="W14" s="77">
        <v>1214</v>
      </c>
      <c r="X14" s="77">
        <v>1191</v>
      </c>
      <c r="Y14" s="77">
        <v>1032</v>
      </c>
      <c r="Z14" s="77">
        <v>1080</v>
      </c>
      <c r="AA14" s="77">
        <v>892</v>
      </c>
      <c r="AB14" s="17"/>
      <c r="AC14" s="17"/>
      <c r="AD14" s="17"/>
      <c r="AE14" s="17"/>
      <c r="AK14" s="42"/>
    </row>
    <row r="15" spans="1:37">
      <c r="A15" s="6" t="s">
        <v>282</v>
      </c>
      <c r="B15" s="86" t="s">
        <v>110</v>
      </c>
      <c r="C15" s="80" t="s">
        <v>123</v>
      </c>
      <c r="D15" s="80" t="s">
        <v>123</v>
      </c>
      <c r="E15" s="80" t="s">
        <v>123</v>
      </c>
      <c r="F15" s="80" t="s">
        <v>123</v>
      </c>
      <c r="G15" s="80" t="s">
        <v>123</v>
      </c>
      <c r="H15" s="80" t="s">
        <v>123</v>
      </c>
      <c r="I15" s="80" t="s">
        <v>123</v>
      </c>
      <c r="J15" s="77">
        <v>3761</v>
      </c>
      <c r="K15" s="77">
        <v>1994</v>
      </c>
      <c r="L15" s="77">
        <v>2957</v>
      </c>
      <c r="M15" s="77">
        <v>2664</v>
      </c>
      <c r="N15" s="77">
        <v>3002</v>
      </c>
      <c r="O15" s="77">
        <v>2592</v>
      </c>
      <c r="P15" s="77">
        <v>3141</v>
      </c>
      <c r="Q15" s="77">
        <v>3460</v>
      </c>
      <c r="R15" s="77">
        <v>3612</v>
      </c>
      <c r="S15" s="77">
        <v>2530</v>
      </c>
      <c r="T15" s="77">
        <v>2108</v>
      </c>
      <c r="U15" s="77">
        <v>2101</v>
      </c>
      <c r="V15" s="77">
        <v>2012</v>
      </c>
      <c r="W15" s="77">
        <v>2375</v>
      </c>
      <c r="X15" s="77">
        <v>2350</v>
      </c>
      <c r="Y15" s="77">
        <v>2006</v>
      </c>
      <c r="Z15" s="77">
        <v>2453</v>
      </c>
      <c r="AA15" s="77">
        <v>2386</v>
      </c>
      <c r="AB15" s="17"/>
      <c r="AC15" s="17"/>
      <c r="AD15" s="17"/>
      <c r="AE15" s="17"/>
      <c r="AK15" s="42"/>
    </row>
    <row r="16" spans="1:37">
      <c r="A16" s="6" t="s">
        <v>283</v>
      </c>
      <c r="B16" s="86" t="s">
        <v>111</v>
      </c>
      <c r="C16" s="80" t="s">
        <v>123</v>
      </c>
      <c r="D16" s="80" t="s">
        <v>123</v>
      </c>
      <c r="E16" s="80" t="s">
        <v>123</v>
      </c>
      <c r="F16" s="80" t="s">
        <v>123</v>
      </c>
      <c r="G16" s="80" t="s">
        <v>123</v>
      </c>
      <c r="H16" s="80" t="s">
        <v>123</v>
      </c>
      <c r="I16" s="80" t="s">
        <v>123</v>
      </c>
      <c r="J16" s="80" t="s">
        <v>123</v>
      </c>
      <c r="K16" s="80" t="s">
        <v>123</v>
      </c>
      <c r="L16" s="80" t="s">
        <v>123</v>
      </c>
      <c r="M16" s="80" t="s">
        <v>123</v>
      </c>
      <c r="N16" s="77">
        <v>4618</v>
      </c>
      <c r="O16" s="77">
        <v>1259</v>
      </c>
      <c r="P16" s="77">
        <v>1487</v>
      </c>
      <c r="Q16" s="77">
        <v>1408</v>
      </c>
      <c r="R16" s="77">
        <v>1525</v>
      </c>
      <c r="S16" s="77">
        <v>1469</v>
      </c>
      <c r="T16" s="77">
        <v>1626</v>
      </c>
      <c r="U16" s="77">
        <v>1610</v>
      </c>
      <c r="V16" s="77">
        <v>1617</v>
      </c>
      <c r="W16" s="77">
        <v>1404</v>
      </c>
      <c r="X16" s="77">
        <v>884</v>
      </c>
      <c r="Y16" s="77">
        <v>1163</v>
      </c>
      <c r="Z16" s="77">
        <v>1355</v>
      </c>
      <c r="AA16" s="77">
        <v>1453</v>
      </c>
      <c r="AB16" s="17"/>
      <c r="AC16" s="17"/>
      <c r="AD16" s="17"/>
      <c r="AE16" s="17"/>
      <c r="AK16" s="42"/>
    </row>
    <row r="17" spans="1:37">
      <c r="A17" s="6" t="s">
        <v>284</v>
      </c>
      <c r="B17" s="86" t="s">
        <v>182</v>
      </c>
      <c r="C17" s="80" t="s">
        <v>123</v>
      </c>
      <c r="D17" s="80" t="s">
        <v>123</v>
      </c>
      <c r="E17" s="80" t="s">
        <v>123</v>
      </c>
      <c r="F17" s="80" t="s">
        <v>123</v>
      </c>
      <c r="G17" s="80" t="s">
        <v>123</v>
      </c>
      <c r="H17" s="80" t="s">
        <v>123</v>
      </c>
      <c r="I17" s="80" t="s">
        <v>123</v>
      </c>
      <c r="J17" s="80" t="s">
        <v>123</v>
      </c>
      <c r="K17" s="80" t="s">
        <v>123</v>
      </c>
      <c r="L17" s="80" t="s">
        <v>123</v>
      </c>
      <c r="M17" s="80" t="s">
        <v>123</v>
      </c>
      <c r="N17" s="80" t="s">
        <v>123</v>
      </c>
      <c r="O17" s="77">
        <v>3218</v>
      </c>
      <c r="P17" s="77">
        <v>4473</v>
      </c>
      <c r="Q17" s="77">
        <v>5078</v>
      </c>
      <c r="R17" s="77">
        <v>6271</v>
      </c>
      <c r="S17" s="77">
        <v>10495</v>
      </c>
      <c r="T17" s="77">
        <v>9033</v>
      </c>
      <c r="U17" s="77">
        <v>12015</v>
      </c>
      <c r="V17" s="77">
        <v>13781</v>
      </c>
      <c r="W17" s="77">
        <v>13261</v>
      </c>
      <c r="X17" s="77">
        <v>11052</v>
      </c>
      <c r="Y17" s="77">
        <v>12866</v>
      </c>
      <c r="Z17" s="77">
        <v>15031</v>
      </c>
      <c r="AA17" s="77">
        <v>16864</v>
      </c>
      <c r="AB17" s="17"/>
      <c r="AC17" s="17"/>
      <c r="AD17" s="17"/>
      <c r="AE17" s="17"/>
      <c r="AK17" s="42"/>
    </row>
    <row r="18" spans="1:37">
      <c r="A18" s="6" t="s">
        <v>285</v>
      </c>
      <c r="B18" s="86" t="s">
        <v>112</v>
      </c>
      <c r="C18" s="77">
        <v>9525</v>
      </c>
      <c r="D18" s="77">
        <v>14419</v>
      </c>
      <c r="E18" s="77">
        <v>14136</v>
      </c>
      <c r="F18" s="77">
        <v>13110</v>
      </c>
      <c r="G18" s="77">
        <v>16161</v>
      </c>
      <c r="H18" s="77">
        <v>9358</v>
      </c>
      <c r="I18" s="77">
        <v>16004</v>
      </c>
      <c r="J18" s="77">
        <v>14617</v>
      </c>
      <c r="K18" s="77">
        <v>10485</v>
      </c>
      <c r="L18" s="77">
        <v>7447</v>
      </c>
      <c r="M18" s="77">
        <v>9067</v>
      </c>
      <c r="N18" s="77">
        <v>3905</v>
      </c>
      <c r="O18" s="77">
        <v>3920</v>
      </c>
      <c r="P18" s="77">
        <v>3058</v>
      </c>
      <c r="Q18" s="77">
        <v>4817</v>
      </c>
      <c r="R18" s="77">
        <v>6223</v>
      </c>
      <c r="S18" s="77">
        <v>6693</v>
      </c>
      <c r="T18" s="77">
        <v>7570</v>
      </c>
      <c r="U18" s="77">
        <v>9223</v>
      </c>
      <c r="V18" s="77">
        <v>8719</v>
      </c>
      <c r="W18" s="77">
        <v>8406</v>
      </c>
      <c r="X18" s="77">
        <v>10710</v>
      </c>
      <c r="Y18" s="77">
        <v>8743</v>
      </c>
      <c r="Z18" s="77">
        <v>12284</v>
      </c>
      <c r="AA18" s="77">
        <v>12703</v>
      </c>
      <c r="AB18" s="17"/>
      <c r="AC18" s="17"/>
      <c r="AD18" s="17"/>
      <c r="AE18" s="17"/>
      <c r="AK18" s="42"/>
    </row>
    <row r="19" spans="1:37" ht="10.199999999999999" thickBot="1">
      <c r="A19" s="6" t="s">
        <v>286</v>
      </c>
      <c r="B19" s="39" t="s">
        <v>5</v>
      </c>
      <c r="C19" s="43">
        <f t="shared" ref="C19:N19" si="2">SUM(C20:C29)</f>
        <v>-42799</v>
      </c>
      <c r="D19" s="43">
        <f t="shared" si="2"/>
        <v>-54485</v>
      </c>
      <c r="E19" s="43">
        <f t="shared" si="2"/>
        <v>-55868</v>
      </c>
      <c r="F19" s="43">
        <f t="shared" si="2"/>
        <v>-60910</v>
      </c>
      <c r="G19" s="43">
        <f t="shared" si="2"/>
        <v>-50709</v>
      </c>
      <c r="H19" s="43">
        <f t="shared" si="2"/>
        <v>-60976</v>
      </c>
      <c r="I19" s="43">
        <f t="shared" si="2"/>
        <v>-59329</v>
      </c>
      <c r="J19" s="43">
        <f t="shared" si="2"/>
        <v>-88553</v>
      </c>
      <c r="K19" s="43">
        <f t="shared" si="2"/>
        <v>-78059</v>
      </c>
      <c r="L19" s="43">
        <f t="shared" si="2"/>
        <v>-91077</v>
      </c>
      <c r="M19" s="43">
        <f t="shared" si="2"/>
        <v>-104094</v>
      </c>
      <c r="N19" s="43">
        <f t="shared" si="2"/>
        <v>-101622</v>
      </c>
      <c r="O19" s="43">
        <f>SUM(O20:O29)</f>
        <v>-87495</v>
      </c>
      <c r="P19" s="43">
        <f t="shared" ref="P19:U19" si="3">SUM(P20:P29)</f>
        <v>-94428</v>
      </c>
      <c r="Q19" s="43">
        <f t="shared" si="3"/>
        <v>-104905</v>
      </c>
      <c r="R19" s="43">
        <f t="shared" si="3"/>
        <v>-102641</v>
      </c>
      <c r="S19" s="43">
        <f t="shared" si="3"/>
        <v>-97084</v>
      </c>
      <c r="T19" s="43">
        <f t="shared" si="3"/>
        <v>-127451</v>
      </c>
      <c r="U19" s="43">
        <f t="shared" si="3"/>
        <v>-131965</v>
      </c>
      <c r="V19" s="43">
        <v>-142494</v>
      </c>
      <c r="W19" s="43">
        <f>SUM(W20:W29)</f>
        <v>-134176</v>
      </c>
      <c r="X19" s="43">
        <f>SUM(X20:X29)</f>
        <v>-139666</v>
      </c>
      <c r="Y19" s="43">
        <v>-160326</v>
      </c>
      <c r="Z19" s="43">
        <f>SUM(Z20:Z29)</f>
        <v>-145735</v>
      </c>
      <c r="AA19" s="43">
        <f>SUM(AA20:AA29)</f>
        <v>-138688</v>
      </c>
      <c r="AB19" s="17"/>
      <c r="AC19" s="17"/>
      <c r="AD19" s="17"/>
      <c r="AE19" s="17"/>
      <c r="AK19" s="42"/>
    </row>
    <row r="20" spans="1:37" ht="19.2">
      <c r="A20" s="6" t="s">
        <v>287</v>
      </c>
      <c r="B20" s="86" t="s">
        <v>113</v>
      </c>
      <c r="C20" s="77">
        <v>-13457</v>
      </c>
      <c r="D20" s="77">
        <v>-14618</v>
      </c>
      <c r="E20" s="77">
        <v>-16206</v>
      </c>
      <c r="F20" s="77">
        <v>-16909</v>
      </c>
      <c r="G20" s="77">
        <v>-15056</v>
      </c>
      <c r="H20" s="77">
        <v>-17809</v>
      </c>
      <c r="I20" s="77">
        <v>-17973</v>
      </c>
      <c r="J20" s="77">
        <v>-32772</v>
      </c>
      <c r="K20" s="77">
        <v>-31889</v>
      </c>
      <c r="L20" s="77">
        <v>-31679</v>
      </c>
      <c r="M20" s="77">
        <v>-51575</v>
      </c>
      <c r="N20" s="77">
        <v>-39699</v>
      </c>
      <c r="O20" s="77">
        <v>-43856</v>
      </c>
      <c r="P20" s="77">
        <v>-44371</v>
      </c>
      <c r="Q20" s="77">
        <v>-59775</v>
      </c>
      <c r="R20" s="77">
        <v>-42450</v>
      </c>
      <c r="S20" s="77">
        <v>-50251</v>
      </c>
      <c r="T20" s="77">
        <v>-77721</v>
      </c>
      <c r="U20" s="77">
        <v>-83316</v>
      </c>
      <c r="V20" s="77">
        <v>-74263</v>
      </c>
      <c r="W20" s="77">
        <v>-81459</v>
      </c>
      <c r="X20" s="77">
        <v>-85691</v>
      </c>
      <c r="Y20" s="77">
        <v>-105309</v>
      </c>
      <c r="Z20" s="77">
        <v>-97361</v>
      </c>
      <c r="AA20" s="77">
        <v>-90729</v>
      </c>
      <c r="AB20" s="17"/>
      <c r="AC20" s="17"/>
      <c r="AD20" s="17"/>
      <c r="AE20" s="17"/>
      <c r="AK20" s="42"/>
    </row>
    <row r="21" spans="1:37">
      <c r="A21" s="6" t="s">
        <v>288</v>
      </c>
      <c r="B21" s="86" t="s">
        <v>114</v>
      </c>
      <c r="C21" s="77">
        <v>-4811</v>
      </c>
      <c r="D21" s="77">
        <v>-7672</v>
      </c>
      <c r="E21" s="77">
        <v>-7271</v>
      </c>
      <c r="F21" s="77">
        <v>-24106</v>
      </c>
      <c r="G21" s="77">
        <v>-6738</v>
      </c>
      <c r="H21" s="77">
        <v>-9801</v>
      </c>
      <c r="I21" s="77">
        <v>-7899</v>
      </c>
      <c r="J21" s="77">
        <v>-10573</v>
      </c>
      <c r="K21" s="77">
        <v>-7172</v>
      </c>
      <c r="L21" s="77">
        <v>-10898</v>
      </c>
      <c r="M21" s="77">
        <v>-9765</v>
      </c>
      <c r="N21" s="77">
        <v>-12011</v>
      </c>
      <c r="O21" s="77">
        <v>-6536</v>
      </c>
      <c r="P21" s="77">
        <v>-14370</v>
      </c>
      <c r="Q21" s="77">
        <v>-13817</v>
      </c>
      <c r="R21" s="77">
        <v>-18632</v>
      </c>
      <c r="S21" s="77">
        <v>-12719</v>
      </c>
      <c r="T21" s="77">
        <v>-15271</v>
      </c>
      <c r="U21" s="77">
        <v>-16758</v>
      </c>
      <c r="V21" s="77">
        <v>-23515</v>
      </c>
      <c r="W21" s="77">
        <v>-16150</v>
      </c>
      <c r="X21" s="77">
        <v>-19716</v>
      </c>
      <c r="Y21" s="77">
        <v>-15497</v>
      </c>
      <c r="Z21" s="77">
        <v>-13059</v>
      </c>
      <c r="AA21" s="77">
        <v>-14194</v>
      </c>
      <c r="AB21" s="17"/>
      <c r="AC21" s="17"/>
      <c r="AD21" s="17"/>
      <c r="AE21" s="17"/>
      <c r="AK21" s="42"/>
    </row>
    <row r="22" spans="1:37">
      <c r="A22" s="6" t="s">
        <v>289</v>
      </c>
      <c r="B22" s="86" t="s">
        <v>115</v>
      </c>
      <c r="C22" s="77">
        <v>-6340</v>
      </c>
      <c r="D22" s="77">
        <v>-8078</v>
      </c>
      <c r="E22" s="77">
        <v>-7461</v>
      </c>
      <c r="F22" s="77">
        <v>-4003</v>
      </c>
      <c r="G22" s="77">
        <v>-7194</v>
      </c>
      <c r="H22" s="77">
        <v>-7107</v>
      </c>
      <c r="I22" s="77">
        <v>-8069</v>
      </c>
      <c r="J22" s="77">
        <v>-3586</v>
      </c>
      <c r="K22" s="77">
        <v>-5075</v>
      </c>
      <c r="L22" s="77">
        <v>-4658</v>
      </c>
      <c r="M22" s="77">
        <v>-5415</v>
      </c>
      <c r="N22" s="77">
        <v>-4250</v>
      </c>
      <c r="O22" s="77">
        <v>-4247</v>
      </c>
      <c r="P22" s="77">
        <v>-4284</v>
      </c>
      <c r="Q22" s="77">
        <v>-3944</v>
      </c>
      <c r="R22" s="77">
        <v>-3992</v>
      </c>
      <c r="S22" s="77">
        <v>-3707</v>
      </c>
      <c r="T22" s="77">
        <v>-3223</v>
      </c>
      <c r="U22" s="77">
        <v>-3726</v>
      </c>
      <c r="V22" s="77">
        <v>-3497</v>
      </c>
      <c r="W22" s="77">
        <v>-3789</v>
      </c>
      <c r="X22" s="77">
        <v>-3643</v>
      </c>
      <c r="Y22" s="77">
        <v>-2895</v>
      </c>
      <c r="Z22" s="77">
        <v>-3157</v>
      </c>
      <c r="AA22" s="77">
        <v>-3270</v>
      </c>
      <c r="AB22" s="17"/>
      <c r="AC22" s="17"/>
      <c r="AD22" s="17"/>
      <c r="AE22" s="17"/>
      <c r="AK22" s="42"/>
    </row>
    <row r="23" spans="1:37">
      <c r="A23" s="6" t="s">
        <v>290</v>
      </c>
      <c r="B23" s="86" t="s">
        <v>116</v>
      </c>
      <c r="C23" s="77">
        <v>-3861</v>
      </c>
      <c r="D23" s="77">
        <v>-4381</v>
      </c>
      <c r="E23" s="77">
        <v>-4464</v>
      </c>
      <c r="F23" s="77">
        <v>-4807</v>
      </c>
      <c r="G23" s="77">
        <v>-5143</v>
      </c>
      <c r="H23" s="77">
        <v>-6269</v>
      </c>
      <c r="I23" s="77">
        <v>-6222</v>
      </c>
      <c r="J23" s="77">
        <v>-6557</v>
      </c>
      <c r="K23" s="77">
        <v>-6737</v>
      </c>
      <c r="L23" s="77">
        <v>-4880</v>
      </c>
      <c r="M23" s="77">
        <v>-3613</v>
      </c>
      <c r="N23" s="77">
        <v>-4158</v>
      </c>
      <c r="O23" s="77">
        <v>-3302</v>
      </c>
      <c r="P23" s="77">
        <v>-3928</v>
      </c>
      <c r="Q23" s="77">
        <v>-3981</v>
      </c>
      <c r="R23" s="77">
        <v>-4470</v>
      </c>
      <c r="S23" s="77">
        <v>-3936</v>
      </c>
      <c r="T23" s="77">
        <v>-4160</v>
      </c>
      <c r="U23" s="77">
        <v>-4053</v>
      </c>
      <c r="V23" s="77">
        <v>-4153</v>
      </c>
      <c r="W23" s="77">
        <v>-4748</v>
      </c>
      <c r="X23" s="77">
        <v>-3845</v>
      </c>
      <c r="Y23" s="77">
        <v>-4030</v>
      </c>
      <c r="Z23" s="77">
        <v>-4198</v>
      </c>
      <c r="AA23" s="77">
        <v>-4012</v>
      </c>
      <c r="AB23" s="17"/>
      <c r="AC23" s="17"/>
      <c r="AD23" s="17"/>
      <c r="AE23" s="17"/>
      <c r="AK23" s="42"/>
    </row>
    <row r="24" spans="1:37">
      <c r="A24" s="6" t="s">
        <v>291</v>
      </c>
      <c r="B24" s="86" t="s">
        <v>117</v>
      </c>
      <c r="C24" s="77">
        <v>-5136</v>
      </c>
      <c r="D24" s="77">
        <v>-6182</v>
      </c>
      <c r="E24" s="77">
        <v>-6350</v>
      </c>
      <c r="F24" s="77">
        <v>-6588</v>
      </c>
      <c r="G24" s="77">
        <v>-5259</v>
      </c>
      <c r="H24" s="77">
        <v>-5092</v>
      </c>
      <c r="I24" s="77">
        <v>-5451</v>
      </c>
      <c r="J24" s="77">
        <v>-6534</v>
      </c>
      <c r="K24" s="77">
        <v>-5135</v>
      </c>
      <c r="L24" s="77">
        <v>-6118</v>
      </c>
      <c r="M24" s="77">
        <v>-7301</v>
      </c>
      <c r="N24" s="77">
        <v>-9762</v>
      </c>
      <c r="O24" s="77">
        <v>-6671</v>
      </c>
      <c r="P24" s="77">
        <v>-5724</v>
      </c>
      <c r="Q24" s="77">
        <v>-7158</v>
      </c>
      <c r="R24" s="77">
        <v>-6301</v>
      </c>
      <c r="S24" s="77">
        <v>-5521</v>
      </c>
      <c r="T24" s="77">
        <v>-5841</v>
      </c>
      <c r="U24" s="77">
        <v>-6649</v>
      </c>
      <c r="V24" s="77">
        <v>-5641</v>
      </c>
      <c r="W24" s="77">
        <v>-5994</v>
      </c>
      <c r="X24" s="77">
        <v>-4740</v>
      </c>
      <c r="Y24" s="77">
        <v>-7578</v>
      </c>
      <c r="Z24" s="77">
        <v>-4837</v>
      </c>
      <c r="AA24" s="77">
        <v>-3767</v>
      </c>
      <c r="AB24" s="17"/>
      <c r="AC24" s="17"/>
      <c r="AD24" s="17"/>
      <c r="AE24" s="17"/>
      <c r="AK24" s="42"/>
    </row>
    <row r="25" spans="1:37" ht="19.2">
      <c r="A25" s="6" t="s">
        <v>292</v>
      </c>
      <c r="B25" s="86" t="s">
        <v>118</v>
      </c>
      <c r="C25" s="77">
        <v>-2013</v>
      </c>
      <c r="D25" s="77">
        <v>-2739</v>
      </c>
      <c r="E25" s="77">
        <v>-2701</v>
      </c>
      <c r="F25" s="77">
        <v>-2057</v>
      </c>
      <c r="G25" s="77">
        <v>-2259</v>
      </c>
      <c r="H25" s="77">
        <v>-2953</v>
      </c>
      <c r="I25" s="77">
        <v>-2216</v>
      </c>
      <c r="J25" s="77">
        <v>-4684</v>
      </c>
      <c r="K25" s="77">
        <v>-4382</v>
      </c>
      <c r="L25" s="77">
        <v>-10840</v>
      </c>
      <c r="M25" s="77">
        <v>-7893</v>
      </c>
      <c r="N25" s="77">
        <v>-8354</v>
      </c>
      <c r="O25" s="77">
        <v>-7719</v>
      </c>
      <c r="P25" s="77">
        <v>-5913</v>
      </c>
      <c r="Q25" s="77">
        <v>-6573</v>
      </c>
      <c r="R25" s="77">
        <v>-8792</v>
      </c>
      <c r="S25" s="77">
        <v>-7156</v>
      </c>
      <c r="T25" s="77">
        <v>-5782</v>
      </c>
      <c r="U25" s="77">
        <v>-5900</v>
      </c>
      <c r="V25" s="77">
        <v>-6734</v>
      </c>
      <c r="W25" s="77">
        <v>-6324</v>
      </c>
      <c r="X25" s="77">
        <v>-6435</v>
      </c>
      <c r="Y25" s="77">
        <v>-6554</v>
      </c>
      <c r="Z25" s="77">
        <v>-5655</v>
      </c>
      <c r="AA25" s="77">
        <v>-4948</v>
      </c>
      <c r="AB25" s="17"/>
      <c r="AC25" s="17"/>
      <c r="AD25" s="17"/>
      <c r="AE25" s="17"/>
      <c r="AK25" s="42"/>
    </row>
    <row r="26" spans="1:37">
      <c r="A26" s="6" t="s">
        <v>275</v>
      </c>
      <c r="B26" s="86" t="s">
        <v>104</v>
      </c>
      <c r="C26" s="77">
        <v>-837</v>
      </c>
      <c r="D26" s="77">
        <v>-1005</v>
      </c>
      <c r="E26" s="77">
        <v>-1077</v>
      </c>
      <c r="F26" s="77">
        <v>-969</v>
      </c>
      <c r="G26" s="77">
        <v>-688</v>
      </c>
      <c r="H26" s="77">
        <v>-824</v>
      </c>
      <c r="I26" s="77">
        <v>-1162</v>
      </c>
      <c r="J26" s="77">
        <v>-1025</v>
      </c>
      <c r="K26" s="77">
        <v>-983</v>
      </c>
      <c r="L26" s="77">
        <v>-1503</v>
      </c>
      <c r="M26" s="77">
        <v>-1264</v>
      </c>
      <c r="N26" s="77">
        <v>-1288</v>
      </c>
      <c r="O26" s="77">
        <v>-879</v>
      </c>
      <c r="P26" s="77">
        <v>-1103</v>
      </c>
      <c r="Q26" s="77">
        <v>-878</v>
      </c>
      <c r="R26" s="77">
        <v>-842</v>
      </c>
      <c r="S26" s="77">
        <v>-670</v>
      </c>
      <c r="T26" s="77">
        <v>-902</v>
      </c>
      <c r="U26" s="77">
        <v>-741</v>
      </c>
      <c r="V26" s="77">
        <v>-789</v>
      </c>
      <c r="W26" s="77">
        <v>-945</v>
      </c>
      <c r="X26" s="77">
        <v>-1627</v>
      </c>
      <c r="Y26" s="77">
        <v>-1693</v>
      </c>
      <c r="Z26" s="77">
        <v>-2138</v>
      </c>
      <c r="AA26" s="77">
        <v>-1980</v>
      </c>
      <c r="AB26" s="17"/>
      <c r="AC26" s="17"/>
      <c r="AD26" s="17"/>
      <c r="AE26" s="17"/>
      <c r="AK26" s="42"/>
    </row>
    <row r="27" spans="1:37">
      <c r="A27" s="6" t="s">
        <v>282</v>
      </c>
      <c r="B27" s="86" t="s">
        <v>110</v>
      </c>
      <c r="C27" s="80" t="s">
        <v>123</v>
      </c>
      <c r="D27" s="80" t="s">
        <v>123</v>
      </c>
      <c r="E27" s="80" t="s">
        <v>123</v>
      </c>
      <c r="F27" s="80" t="s">
        <v>123</v>
      </c>
      <c r="G27" s="80" t="s">
        <v>123</v>
      </c>
      <c r="H27" s="80" t="s">
        <v>123</v>
      </c>
      <c r="I27" s="80" t="s">
        <v>123</v>
      </c>
      <c r="J27" s="77">
        <v>-847</v>
      </c>
      <c r="K27" s="77">
        <v>-478</v>
      </c>
      <c r="L27" s="77">
        <v>-876</v>
      </c>
      <c r="M27" s="77">
        <v>-545</v>
      </c>
      <c r="N27" s="77">
        <v>-1259</v>
      </c>
      <c r="O27" s="77">
        <v>-385</v>
      </c>
      <c r="P27" s="77">
        <v>-673</v>
      </c>
      <c r="Q27" s="77">
        <v>-847</v>
      </c>
      <c r="R27" s="77">
        <v>-1264</v>
      </c>
      <c r="S27" s="77">
        <v>-369</v>
      </c>
      <c r="T27" s="77">
        <v>-586</v>
      </c>
      <c r="U27" s="77">
        <v>-506</v>
      </c>
      <c r="V27" s="77">
        <v>-774</v>
      </c>
      <c r="W27" s="77">
        <v>-25</v>
      </c>
      <c r="X27" s="77">
        <v>-41</v>
      </c>
      <c r="Y27" s="77">
        <v>-70</v>
      </c>
      <c r="Z27" s="77">
        <v>-21</v>
      </c>
      <c r="AA27" s="77">
        <v>-45</v>
      </c>
      <c r="AB27" s="17"/>
      <c r="AC27" s="17"/>
      <c r="AD27" s="17"/>
      <c r="AE27" s="17"/>
      <c r="AK27" s="42"/>
    </row>
    <row r="28" spans="1:37">
      <c r="A28" s="6" t="s">
        <v>293</v>
      </c>
      <c r="B28" s="86" t="s">
        <v>119</v>
      </c>
      <c r="C28" s="80" t="s">
        <v>123</v>
      </c>
      <c r="D28" s="80" t="s">
        <v>123</v>
      </c>
      <c r="E28" s="80" t="s">
        <v>123</v>
      </c>
      <c r="F28" s="80" t="s">
        <v>123</v>
      </c>
      <c r="G28" s="80" t="s">
        <v>123</v>
      </c>
      <c r="H28" s="80" t="s">
        <v>123</v>
      </c>
      <c r="I28" s="80" t="s">
        <v>123</v>
      </c>
      <c r="J28" s="80" t="s">
        <v>123</v>
      </c>
      <c r="K28" s="80" t="s">
        <v>123</v>
      </c>
      <c r="L28" s="80" t="s">
        <v>123</v>
      </c>
      <c r="M28" s="80" t="s">
        <v>123</v>
      </c>
      <c r="N28" s="77">
        <v>-18189</v>
      </c>
      <c r="O28" s="77">
        <v>-3863</v>
      </c>
      <c r="P28" s="77">
        <v>-4772</v>
      </c>
      <c r="Q28" s="77">
        <v>-1255</v>
      </c>
      <c r="R28" s="77">
        <v>-5454</v>
      </c>
      <c r="S28" s="77">
        <v>-4416</v>
      </c>
      <c r="T28" s="77">
        <v>-4932</v>
      </c>
      <c r="U28" s="77">
        <v>162</v>
      </c>
      <c r="V28" s="77">
        <v>-8981</v>
      </c>
      <c r="W28" s="77">
        <v>-5416</v>
      </c>
      <c r="X28" s="77">
        <v>-2785</v>
      </c>
      <c r="Y28" s="77">
        <v>-4600</v>
      </c>
      <c r="Z28" s="77">
        <v>-4533</v>
      </c>
      <c r="AA28" s="77">
        <v>-5303</v>
      </c>
      <c r="AB28" s="17"/>
      <c r="AC28" s="17"/>
      <c r="AD28" s="17"/>
      <c r="AE28" s="17"/>
      <c r="AK28" s="42"/>
    </row>
    <row r="29" spans="1:37">
      <c r="A29" s="6" t="s">
        <v>285</v>
      </c>
      <c r="B29" s="86" t="s">
        <v>112</v>
      </c>
      <c r="C29" s="77">
        <v>-6344</v>
      </c>
      <c r="D29" s="77">
        <v>-9810</v>
      </c>
      <c r="E29" s="77">
        <v>-10338</v>
      </c>
      <c r="F29" s="77">
        <v>-1471</v>
      </c>
      <c r="G29" s="77">
        <v>-8372</v>
      </c>
      <c r="H29" s="77">
        <v>-11121</v>
      </c>
      <c r="I29" s="77">
        <v>-10337</v>
      </c>
      <c r="J29" s="77">
        <v>-21975</v>
      </c>
      <c r="K29" s="77">
        <v>-16208</v>
      </c>
      <c r="L29" s="77">
        <v>-19625</v>
      </c>
      <c r="M29" s="77">
        <v>-16723</v>
      </c>
      <c r="N29" s="77">
        <v>-2652</v>
      </c>
      <c r="O29" s="77">
        <v>-10037</v>
      </c>
      <c r="P29" s="77">
        <v>-9290</v>
      </c>
      <c r="Q29" s="77">
        <v>-6677</v>
      </c>
      <c r="R29" s="77">
        <v>-10444</v>
      </c>
      <c r="S29" s="77">
        <v>-8339</v>
      </c>
      <c r="T29" s="77">
        <v>-9033</v>
      </c>
      <c r="U29" s="77">
        <v>-10478</v>
      </c>
      <c r="V29" s="77">
        <v>-14147</v>
      </c>
      <c r="W29" s="77">
        <v>-9326</v>
      </c>
      <c r="X29" s="77">
        <v>-11143</v>
      </c>
      <c r="Y29" s="77">
        <v>-12100</v>
      </c>
      <c r="Z29" s="77">
        <v>-10776</v>
      </c>
      <c r="AA29" s="77">
        <v>-10440</v>
      </c>
      <c r="AB29" s="17"/>
      <c r="AC29" s="17"/>
      <c r="AD29" s="17"/>
      <c r="AE29" s="17"/>
      <c r="AK29" s="42"/>
    </row>
    <row r="30" spans="1:37" ht="10.199999999999999" thickBot="1">
      <c r="A30" s="6" t="s">
        <v>294</v>
      </c>
      <c r="B30" s="39" t="s">
        <v>120</v>
      </c>
      <c r="C30" s="43">
        <f t="shared" ref="C30:N30" si="4">C4+C19</f>
        <v>92783</v>
      </c>
      <c r="D30" s="43">
        <f t="shared" si="4"/>
        <v>70326</v>
      </c>
      <c r="E30" s="43">
        <f t="shared" si="4"/>
        <v>89109</v>
      </c>
      <c r="F30" s="43">
        <f t="shared" si="4"/>
        <v>79450</v>
      </c>
      <c r="G30" s="43">
        <f t="shared" si="4"/>
        <v>87261</v>
      </c>
      <c r="H30" s="43">
        <f t="shared" si="4"/>
        <v>76158</v>
      </c>
      <c r="I30" s="43">
        <f t="shared" si="4"/>
        <v>76161</v>
      </c>
      <c r="J30" s="43">
        <f t="shared" si="4"/>
        <v>91554</v>
      </c>
      <c r="K30" s="43">
        <f t="shared" si="4"/>
        <v>111029</v>
      </c>
      <c r="L30" s="43">
        <f t="shared" si="4"/>
        <v>112198</v>
      </c>
      <c r="M30" s="43">
        <f t="shared" si="4"/>
        <v>97330</v>
      </c>
      <c r="N30" s="43">
        <f t="shared" si="4"/>
        <v>110194</v>
      </c>
      <c r="O30" s="43">
        <f>O4+O19</f>
        <v>176874</v>
      </c>
      <c r="P30" s="43">
        <f t="shared" ref="P30:T30" si="5">P4+P19</f>
        <v>170595</v>
      </c>
      <c r="Q30" s="43">
        <f t="shared" si="5"/>
        <v>178562</v>
      </c>
      <c r="R30" s="43">
        <f t="shared" si="5"/>
        <v>183968</v>
      </c>
      <c r="S30" s="43">
        <f t="shared" si="5"/>
        <v>169864</v>
      </c>
      <c r="T30" s="43">
        <f t="shared" si="5"/>
        <v>156810</v>
      </c>
      <c r="U30" s="43">
        <f t="shared" ref="U30" si="6">U4+U19</f>
        <v>170244</v>
      </c>
      <c r="V30" s="43">
        <f>V4+V19</f>
        <v>162927</v>
      </c>
      <c r="W30" s="43">
        <f>W4+W19</f>
        <v>135171</v>
      </c>
      <c r="X30" s="43">
        <f>X4+X19</f>
        <v>154584</v>
      </c>
      <c r="Y30" s="43">
        <v>169102</v>
      </c>
      <c r="Z30" s="43">
        <f>Z4+Z19</f>
        <v>176989</v>
      </c>
      <c r="AA30" s="43">
        <f>AA4+AA19</f>
        <v>177710</v>
      </c>
      <c r="AB30" s="17"/>
      <c r="AC30" s="17"/>
      <c r="AD30" s="17"/>
      <c r="AE30" s="17"/>
      <c r="AK30" s="42"/>
    </row>
    <row r="31" spans="1:37">
      <c r="X31" s="17"/>
      <c r="AA31" s="17"/>
      <c r="AB31" s="17"/>
      <c r="AC31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E40"/>
  <sheetViews>
    <sheetView zoomScale="90" zoomScaleNormal="90" zoomScaleSheetLayoutView="90" workbookViewId="0">
      <pane xSplit="2" ySplit="2" topLeftCell="V3" activePane="bottomRight" state="frozen"/>
      <selection pane="topRight" activeCell="C1" sqref="C1"/>
      <selection pane="bottomLeft" activeCell="A4" sqref="A4"/>
      <selection pane="bottomRight"/>
    </sheetView>
  </sheetViews>
  <sheetFormatPr defaultRowHeight="10.199999999999999"/>
  <cols>
    <col min="1" max="1" width="43.42578125" style="4" customWidth="1"/>
    <col min="2" max="2" width="45.85546875" bestFit="1" customWidth="1"/>
    <col min="3" max="20" width="8.7109375" bestFit="1" customWidth="1"/>
    <col min="21" max="21" width="8.7109375" style="1" bestFit="1" customWidth="1"/>
    <col min="22" max="27" width="12.85546875" customWidth="1"/>
    <col min="28" max="28" width="20.85546875" customWidth="1"/>
  </cols>
  <sheetData>
    <row r="1" spans="1:31" ht="10.8" thickBot="1"/>
    <row r="2" spans="1:31" s="6" customFormat="1" ht="19.8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45" t="s">
        <v>358</v>
      </c>
      <c r="X2" s="45" t="s">
        <v>364</v>
      </c>
      <c r="Y2" s="45" t="s">
        <v>370</v>
      </c>
      <c r="Z2" s="45" t="s">
        <v>374</v>
      </c>
      <c r="AA2" s="45" t="s">
        <v>392</v>
      </c>
    </row>
    <row r="3" spans="1:31" s="6" customFormat="1" ht="9.6">
      <c r="A3" s="6" t="s">
        <v>310</v>
      </c>
      <c r="B3" s="58" t="s">
        <v>139</v>
      </c>
      <c r="C3" s="59">
        <f t="shared" ref="C3:S3" si="0">SUM(C4:C11)</f>
        <v>-146137</v>
      </c>
      <c r="D3" s="59">
        <f t="shared" si="0"/>
        <v>-132392</v>
      </c>
      <c r="E3" s="59">
        <f t="shared" si="0"/>
        <v>-146749</v>
      </c>
      <c r="F3" s="59">
        <f t="shared" si="0"/>
        <v>-129157</v>
      </c>
      <c r="G3" s="59">
        <f t="shared" si="0"/>
        <v>-149621</v>
      </c>
      <c r="H3" s="59">
        <f t="shared" si="0"/>
        <v>-154502</v>
      </c>
      <c r="I3" s="59">
        <f t="shared" si="0"/>
        <v>-150768</v>
      </c>
      <c r="J3" s="59">
        <f t="shared" si="0"/>
        <v>-438177</v>
      </c>
      <c r="K3" s="59">
        <f t="shared" si="0"/>
        <v>-263263</v>
      </c>
      <c r="L3" s="59">
        <f t="shared" si="0"/>
        <v>-291659</v>
      </c>
      <c r="M3" s="59">
        <f t="shared" si="0"/>
        <v>-203310</v>
      </c>
      <c r="N3" s="59">
        <f t="shared" si="0"/>
        <v>-245661</v>
      </c>
      <c r="O3" s="59">
        <f t="shared" si="0"/>
        <v>-239902</v>
      </c>
      <c r="P3" s="59">
        <f t="shared" si="0"/>
        <v>-233995</v>
      </c>
      <c r="Q3" s="59">
        <f t="shared" si="0"/>
        <v>-216744</v>
      </c>
      <c r="R3" s="59">
        <f t="shared" si="0"/>
        <v>-205605</v>
      </c>
      <c r="S3" s="59">
        <f t="shared" si="0"/>
        <v>-224154</v>
      </c>
      <c r="T3" s="59">
        <f>SUM(T4:T11)</f>
        <v>-214896</v>
      </c>
      <c r="U3" s="59">
        <f>SUM(U4:U11)</f>
        <v>-193281</v>
      </c>
      <c r="V3" s="59">
        <v>-149057</v>
      </c>
      <c r="W3" s="59">
        <f>SUM(W4:W11)</f>
        <v>-233928</v>
      </c>
      <c r="X3" s="59">
        <f>SUM(X4:X11)</f>
        <v>-219695</v>
      </c>
      <c r="Y3" s="59">
        <v>-184435</v>
      </c>
      <c r="Z3" s="94">
        <f>SUM(Z4:Z11)</f>
        <v>-184275</v>
      </c>
      <c r="AA3" s="94">
        <f>SUM(AA4:AA11)</f>
        <v>-215109</v>
      </c>
      <c r="AB3" s="17"/>
      <c r="AC3" s="17"/>
      <c r="AD3" s="17"/>
      <c r="AE3" s="17"/>
    </row>
    <row r="4" spans="1:31" s="6" customFormat="1" ht="9.6">
      <c r="A4" s="6" t="s">
        <v>311</v>
      </c>
      <c r="B4" s="60" t="s">
        <v>140</v>
      </c>
      <c r="C4" s="77">
        <v>-120697</v>
      </c>
      <c r="D4" s="77">
        <v>-105324</v>
      </c>
      <c r="E4" s="77">
        <v>-124727</v>
      </c>
      <c r="F4" s="77">
        <v>-113130</v>
      </c>
      <c r="G4" s="77">
        <v>-124839</v>
      </c>
      <c r="H4" s="77">
        <v>-130225</v>
      </c>
      <c r="I4" s="77">
        <v>-127608</v>
      </c>
      <c r="J4" s="77">
        <v>-160403</v>
      </c>
      <c r="K4" s="77">
        <v>-214900</v>
      </c>
      <c r="L4" s="77">
        <v>-217894</v>
      </c>
      <c r="M4" s="77">
        <v>-180743</v>
      </c>
      <c r="N4" s="77">
        <v>-195745</v>
      </c>
      <c r="O4" s="77">
        <v>-194020</v>
      </c>
      <c r="P4" s="77">
        <v>-187628</v>
      </c>
      <c r="Q4" s="77">
        <v>-178324</v>
      </c>
      <c r="R4" s="77">
        <v>-177943</v>
      </c>
      <c r="S4" s="77">
        <v>-182046</v>
      </c>
      <c r="T4" s="77">
        <v>-176276</v>
      </c>
      <c r="U4" s="77">
        <v>-169913</v>
      </c>
      <c r="V4" s="77">
        <v>-137549</v>
      </c>
      <c r="W4" s="77">
        <v>-190851</v>
      </c>
      <c r="X4" s="77">
        <v>-178883</v>
      </c>
      <c r="Y4" s="77">
        <v>-150542</v>
      </c>
      <c r="Z4" s="77">
        <v>-156511</v>
      </c>
      <c r="AA4" s="77">
        <v>-175176</v>
      </c>
      <c r="AB4" s="17"/>
      <c r="AC4" s="17"/>
      <c r="AD4" s="17"/>
      <c r="AE4" s="17"/>
    </row>
    <row r="5" spans="1:31" s="6" customFormat="1" ht="9.6">
      <c r="A5" s="6" t="s">
        <v>312</v>
      </c>
      <c r="B5" s="60" t="s">
        <v>141</v>
      </c>
      <c r="C5" s="77">
        <v>-23224</v>
      </c>
      <c r="D5" s="77">
        <v>-20854</v>
      </c>
      <c r="E5" s="77">
        <v>-20530</v>
      </c>
      <c r="F5" s="77">
        <v>-15849</v>
      </c>
      <c r="G5" s="77">
        <v>-23279</v>
      </c>
      <c r="H5" s="77">
        <v>-22409</v>
      </c>
      <c r="I5" s="77">
        <v>-21530</v>
      </c>
      <c r="J5" s="77">
        <v>-27285</v>
      </c>
      <c r="K5" s="77">
        <v>-46731</v>
      </c>
      <c r="L5" s="77">
        <v>-51047</v>
      </c>
      <c r="M5" s="77">
        <v>-30131</v>
      </c>
      <c r="N5" s="77">
        <v>-34204</v>
      </c>
      <c r="O5" s="77">
        <v>-41644</v>
      </c>
      <c r="P5" s="77">
        <v>-36002</v>
      </c>
      <c r="Q5" s="77">
        <v>-32527</v>
      </c>
      <c r="R5" s="77">
        <v>-27824</v>
      </c>
      <c r="S5" s="77">
        <v>-38596</v>
      </c>
      <c r="T5" s="77">
        <v>-34313</v>
      </c>
      <c r="U5" s="77">
        <v>-31894</v>
      </c>
      <c r="V5" s="77">
        <v>-20412</v>
      </c>
      <c r="W5" s="77">
        <v>-40384</v>
      </c>
      <c r="X5" s="77">
        <v>-37906</v>
      </c>
      <c r="Y5" s="77">
        <v>-33315</v>
      </c>
      <c r="Z5" s="77">
        <v>-24920</v>
      </c>
      <c r="AA5" s="77">
        <v>-37073</v>
      </c>
      <c r="AB5" s="17"/>
      <c r="AC5" s="17"/>
      <c r="AD5" s="17"/>
      <c r="AE5" s="17"/>
    </row>
    <row r="6" spans="1:31" s="6" customFormat="1" ht="9.6">
      <c r="A6" s="6" t="s">
        <v>313</v>
      </c>
      <c r="B6" s="60" t="s">
        <v>142</v>
      </c>
      <c r="C6" s="77">
        <v>-909</v>
      </c>
      <c r="D6" s="77">
        <v>-845</v>
      </c>
      <c r="E6" s="77">
        <v>-909</v>
      </c>
      <c r="F6" s="77">
        <v>1936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7">
        <v>0</v>
      </c>
      <c r="Z6" s="77">
        <v>0</v>
      </c>
      <c r="AA6" s="77">
        <v>0</v>
      </c>
      <c r="AB6" s="17"/>
      <c r="AC6" s="17"/>
      <c r="AD6" s="17"/>
      <c r="AE6" s="17"/>
    </row>
    <row r="7" spans="1:31" s="6" customFormat="1" ht="9.6">
      <c r="A7" s="6" t="s">
        <v>314</v>
      </c>
      <c r="B7" s="60" t="s">
        <v>143</v>
      </c>
      <c r="C7" s="77">
        <v>0</v>
      </c>
      <c r="D7" s="77">
        <v>0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-56378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17"/>
      <c r="AC7" s="17"/>
      <c r="AD7" s="17"/>
      <c r="AE7" s="17"/>
    </row>
    <row r="8" spans="1:31" s="6" customFormat="1" ht="19.2">
      <c r="A8" s="6" t="s">
        <v>315</v>
      </c>
      <c r="B8" s="60" t="s">
        <v>144</v>
      </c>
      <c r="C8" s="77">
        <v>0</v>
      </c>
      <c r="D8" s="77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-12075</v>
      </c>
      <c r="K8" s="77">
        <v>0</v>
      </c>
      <c r="L8" s="77">
        <v>-20804</v>
      </c>
      <c r="M8" s="77">
        <v>9295</v>
      </c>
      <c r="N8" s="77">
        <v>-5180</v>
      </c>
      <c r="O8" s="77">
        <v>-2315</v>
      </c>
      <c r="P8" s="77">
        <v>-5658</v>
      </c>
      <c r="Q8" s="77">
        <v>-2998</v>
      </c>
      <c r="R8" s="77">
        <v>10646</v>
      </c>
      <c r="S8" s="77">
        <v>-972</v>
      </c>
      <c r="T8" s="77">
        <v>177</v>
      </c>
      <c r="U8" s="77">
        <v>1055</v>
      </c>
      <c r="V8" s="77">
        <v>4933</v>
      </c>
      <c r="W8" s="77">
        <v>0</v>
      </c>
      <c r="X8" s="77">
        <v>0</v>
      </c>
      <c r="Y8" s="77">
        <v>0</v>
      </c>
      <c r="Z8" s="77">
        <v>180</v>
      </c>
      <c r="AA8" s="77">
        <v>0</v>
      </c>
      <c r="AB8" s="17"/>
      <c r="AC8" s="17"/>
      <c r="AD8" s="17"/>
      <c r="AE8" s="17"/>
    </row>
    <row r="9" spans="1:31" s="6" customFormat="1" ht="19.2">
      <c r="A9" s="6" t="s">
        <v>316</v>
      </c>
      <c r="B9" s="60" t="s">
        <v>145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-14126</v>
      </c>
      <c r="K9" s="77">
        <v>0</v>
      </c>
      <c r="L9" s="77">
        <v>0</v>
      </c>
      <c r="M9" s="77">
        <v>0</v>
      </c>
      <c r="N9" s="77">
        <v>-2759</v>
      </c>
      <c r="O9" s="77">
        <v>0</v>
      </c>
      <c r="P9" s="77">
        <v>0</v>
      </c>
      <c r="Q9" s="77">
        <v>0</v>
      </c>
      <c r="R9" s="77">
        <v>211</v>
      </c>
      <c r="S9" s="77">
        <v>-865</v>
      </c>
      <c r="T9" s="77">
        <v>-601</v>
      </c>
      <c r="U9" s="77">
        <v>9587</v>
      </c>
      <c r="V9" s="77">
        <v>6421</v>
      </c>
      <c r="W9" s="77">
        <v>-354</v>
      </c>
      <c r="X9" s="77">
        <v>-853</v>
      </c>
      <c r="Y9" s="77">
        <v>1948</v>
      </c>
      <c r="Z9" s="77">
        <v>-19</v>
      </c>
      <c r="AA9" s="77">
        <v>-780</v>
      </c>
      <c r="AB9" s="17"/>
      <c r="AC9" s="17"/>
      <c r="AD9" s="17"/>
      <c r="AE9" s="17"/>
    </row>
    <row r="10" spans="1:31" s="6" customFormat="1" ht="9.6">
      <c r="A10" s="6" t="s">
        <v>317</v>
      </c>
      <c r="B10" s="60" t="s">
        <v>146</v>
      </c>
      <c r="C10" s="77">
        <v>0</v>
      </c>
      <c r="D10" s="77">
        <v>0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-167000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  <c r="V10" s="77">
        <v>0</v>
      </c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17"/>
      <c r="AC10" s="17"/>
      <c r="AD10" s="17"/>
      <c r="AE10" s="17"/>
    </row>
    <row r="11" spans="1:31" s="6" customFormat="1" ht="9.6">
      <c r="A11" s="6" t="s">
        <v>318</v>
      </c>
      <c r="B11" s="60" t="s">
        <v>147</v>
      </c>
      <c r="C11" s="77">
        <v>-1307</v>
      </c>
      <c r="D11" s="77">
        <v>-5369</v>
      </c>
      <c r="E11" s="77">
        <v>-583</v>
      </c>
      <c r="F11" s="77">
        <v>-2114</v>
      </c>
      <c r="G11" s="77">
        <v>-1503</v>
      </c>
      <c r="H11" s="77">
        <v>-1868</v>
      </c>
      <c r="I11" s="77">
        <v>-1630</v>
      </c>
      <c r="J11" s="77">
        <v>-910</v>
      </c>
      <c r="K11" s="77">
        <v>-1632</v>
      </c>
      <c r="L11" s="77">
        <v>-1914</v>
      </c>
      <c r="M11" s="77">
        <v>-1731</v>
      </c>
      <c r="N11" s="77">
        <v>-7773</v>
      </c>
      <c r="O11" s="77">
        <v>-1923</v>
      </c>
      <c r="P11" s="77">
        <v>-4707</v>
      </c>
      <c r="Q11" s="77">
        <v>-2895</v>
      </c>
      <c r="R11" s="77">
        <v>-10695</v>
      </c>
      <c r="S11" s="77">
        <v>-1675</v>
      </c>
      <c r="T11" s="77">
        <v>-3883</v>
      </c>
      <c r="U11" s="77">
        <v>-2116</v>
      </c>
      <c r="V11" s="77">
        <v>-2450</v>
      </c>
      <c r="W11" s="77">
        <v>-2339</v>
      </c>
      <c r="X11" s="77">
        <v>-2053</v>
      </c>
      <c r="Y11" s="77">
        <v>-2526</v>
      </c>
      <c r="Z11" s="77">
        <v>-3005</v>
      </c>
      <c r="AA11" s="77">
        <v>-2080</v>
      </c>
      <c r="AB11" s="17"/>
      <c r="AC11" s="17"/>
      <c r="AD11" s="17"/>
      <c r="AE11" s="17"/>
    </row>
    <row r="12" spans="1:31" s="6" customFormat="1" ht="9.6">
      <c r="A12" s="6" t="s">
        <v>319</v>
      </c>
      <c r="B12" s="58" t="s">
        <v>148</v>
      </c>
      <c r="C12" s="59">
        <f t="shared" ref="C12:S12" si="1">SUM(C13:C23)</f>
        <v>-90595</v>
      </c>
      <c r="D12" s="59">
        <f t="shared" si="1"/>
        <v>-108504</v>
      </c>
      <c r="E12" s="59">
        <f t="shared" si="1"/>
        <v>-90502</v>
      </c>
      <c r="F12" s="59">
        <f t="shared" si="1"/>
        <v>-171210</v>
      </c>
      <c r="G12" s="59">
        <f t="shared" si="1"/>
        <v>-99192</v>
      </c>
      <c r="H12" s="59">
        <f t="shared" si="1"/>
        <v>-108369</v>
      </c>
      <c r="I12" s="59">
        <f t="shared" si="1"/>
        <v>-120837</v>
      </c>
      <c r="J12" s="59">
        <f t="shared" si="1"/>
        <v>-232246</v>
      </c>
      <c r="K12" s="59">
        <f t="shared" si="1"/>
        <v>-188245</v>
      </c>
      <c r="L12" s="59">
        <f t="shared" si="1"/>
        <v>-166474</v>
      </c>
      <c r="M12" s="59">
        <f t="shared" si="1"/>
        <v>-137699</v>
      </c>
      <c r="N12" s="59">
        <f t="shared" si="1"/>
        <v>-168699</v>
      </c>
      <c r="O12" s="59">
        <f t="shared" si="1"/>
        <v>-171117</v>
      </c>
      <c r="P12" s="59">
        <f t="shared" si="1"/>
        <v>-151659</v>
      </c>
      <c r="Q12" s="59">
        <f t="shared" si="1"/>
        <v>-141007</v>
      </c>
      <c r="R12" s="59">
        <f t="shared" si="1"/>
        <v>-145921</v>
      </c>
      <c r="S12" s="59">
        <f t="shared" si="1"/>
        <v>-225345</v>
      </c>
      <c r="T12" s="59">
        <f>SUM(T13:T23)</f>
        <v>-110669</v>
      </c>
      <c r="U12" s="59">
        <f>SUM(U13:U23)</f>
        <v>-110285</v>
      </c>
      <c r="V12" s="59">
        <v>-130689</v>
      </c>
      <c r="W12" s="59">
        <f>SUM(W13:W23)</f>
        <v>-180707</v>
      </c>
      <c r="X12" s="59">
        <f>SUM(X13:X23)</f>
        <v>-109959</v>
      </c>
      <c r="Y12" s="59">
        <f>SUM(Y13:Y23)</f>
        <v>-107977</v>
      </c>
      <c r="Z12" s="94">
        <f>SUM(Z13:Z23)</f>
        <v>-131019</v>
      </c>
      <c r="AA12" s="94">
        <f>SUM(AA13:AA23)</f>
        <v>-140775</v>
      </c>
      <c r="AB12" s="17"/>
      <c r="AC12" s="17"/>
      <c r="AD12" s="17"/>
      <c r="AE12" s="17"/>
    </row>
    <row r="13" spans="1:31" s="6" customFormat="1" ht="9.6">
      <c r="A13" s="6" t="s">
        <v>320</v>
      </c>
      <c r="B13" s="60" t="s">
        <v>149</v>
      </c>
      <c r="C13" s="77">
        <v>-37282</v>
      </c>
      <c r="D13" s="77">
        <v>-35716</v>
      </c>
      <c r="E13" s="77">
        <v>-32142</v>
      </c>
      <c r="F13" s="77">
        <v>-35492</v>
      </c>
      <c r="G13" s="77">
        <v>-34345</v>
      </c>
      <c r="H13" s="77">
        <v>-29760</v>
      </c>
      <c r="I13" s="77">
        <v>-34622</v>
      </c>
      <c r="J13" s="77">
        <v>-48664</v>
      </c>
      <c r="K13" s="77">
        <v>-54218</v>
      </c>
      <c r="L13" s="77">
        <v>-23703</v>
      </c>
      <c r="M13" s="77">
        <v>-42868</v>
      </c>
      <c r="N13" s="77">
        <v>-39658</v>
      </c>
      <c r="O13" s="77">
        <v>-37739</v>
      </c>
      <c r="P13" s="77">
        <v>-37229</v>
      </c>
      <c r="Q13" s="77">
        <v>-34281</v>
      </c>
      <c r="R13" s="77">
        <v>-30488</v>
      </c>
      <c r="S13" s="77">
        <v>-16661</v>
      </c>
      <c r="T13" s="77">
        <v>-15832</v>
      </c>
      <c r="U13" s="77">
        <v>-12448</v>
      </c>
      <c r="V13" s="77">
        <v>-13838</v>
      </c>
      <c r="W13" s="77">
        <v>-14552</v>
      </c>
      <c r="X13" s="77">
        <v>-15713</v>
      </c>
      <c r="Y13" s="77">
        <v>-15158</v>
      </c>
      <c r="Z13" s="77">
        <v>-17255</v>
      </c>
      <c r="AA13" s="77">
        <v>-16787</v>
      </c>
      <c r="AB13" s="17"/>
      <c r="AC13" s="17"/>
      <c r="AD13" s="17"/>
      <c r="AE13" s="17"/>
    </row>
    <row r="14" spans="1:31" s="6" customFormat="1" ht="9.6">
      <c r="A14" s="6" t="s">
        <v>321</v>
      </c>
      <c r="B14" s="60" t="s">
        <v>150</v>
      </c>
      <c r="C14" s="77">
        <v>-14488</v>
      </c>
      <c r="D14" s="77">
        <v>-15187</v>
      </c>
      <c r="E14" s="77">
        <v>-15235</v>
      </c>
      <c r="F14" s="77">
        <v>-72210</v>
      </c>
      <c r="G14" s="77">
        <v>-18908</v>
      </c>
      <c r="H14" s="77">
        <v>-18394</v>
      </c>
      <c r="I14" s="77">
        <v>-19098</v>
      </c>
      <c r="J14" s="77">
        <v>-30164</v>
      </c>
      <c r="K14" s="77">
        <v>-34057</v>
      </c>
      <c r="L14" s="77">
        <v>-18462</v>
      </c>
      <c r="M14" s="77">
        <v>-11218</v>
      </c>
      <c r="N14" s="77">
        <v>-11692</v>
      </c>
      <c r="O14" s="77">
        <v>-54675</v>
      </c>
      <c r="P14" s="77">
        <v>-17041</v>
      </c>
      <c r="Q14" s="77">
        <v>-17093</v>
      </c>
      <c r="R14" s="77">
        <v>-17446</v>
      </c>
      <c r="S14" s="77">
        <v>-121732</v>
      </c>
      <c r="T14" s="77">
        <v>-11594</v>
      </c>
      <c r="U14" s="77">
        <v>-11533</v>
      </c>
      <c r="V14" s="77">
        <v>-11730</v>
      </c>
      <c r="W14" s="77">
        <v>-88599</v>
      </c>
      <c r="X14" s="77">
        <v>-24064</v>
      </c>
      <c r="Y14" s="77">
        <v>-23724</v>
      </c>
      <c r="Z14" s="77">
        <v>-23455</v>
      </c>
      <c r="AA14" s="77">
        <v>-62868</v>
      </c>
      <c r="AB14" s="17"/>
      <c r="AC14" s="17"/>
      <c r="AD14" s="17"/>
      <c r="AE14" s="17"/>
    </row>
    <row r="15" spans="1:31" s="6" customFormat="1" ht="9.6">
      <c r="A15" s="6" t="s">
        <v>322</v>
      </c>
      <c r="B15" s="60" t="s">
        <v>151</v>
      </c>
      <c r="C15" s="77">
        <v>-9141</v>
      </c>
      <c r="D15" s="77">
        <v>-11924</v>
      </c>
      <c r="E15" s="77">
        <v>-10647</v>
      </c>
      <c r="F15" s="77">
        <v>-14193</v>
      </c>
      <c r="G15" s="77">
        <v>-12932</v>
      </c>
      <c r="H15" s="77">
        <v>-11537</v>
      </c>
      <c r="I15" s="77">
        <v>-11518</v>
      </c>
      <c r="J15" s="77">
        <v>-32225</v>
      </c>
      <c r="K15" s="77">
        <v>-44284</v>
      </c>
      <c r="L15" s="77">
        <v>-48050</v>
      </c>
      <c r="M15" s="77">
        <v>-31708</v>
      </c>
      <c r="N15" s="77">
        <v>-32725</v>
      </c>
      <c r="O15" s="77">
        <v>-22904</v>
      </c>
      <c r="P15" s="77">
        <v>-24788</v>
      </c>
      <c r="Q15" s="77">
        <v>-24749</v>
      </c>
      <c r="R15" s="77">
        <v>-26945</v>
      </c>
      <c r="S15" s="77">
        <v>-22610</v>
      </c>
      <c r="T15" s="77">
        <v>-26420</v>
      </c>
      <c r="U15" s="77">
        <v>-30743</v>
      </c>
      <c r="V15" s="77">
        <v>-32412</v>
      </c>
      <c r="W15" s="77">
        <v>-24549</v>
      </c>
      <c r="X15" s="77">
        <v>-25458</v>
      </c>
      <c r="Y15" s="77">
        <v>-30301</v>
      </c>
      <c r="Z15" s="77">
        <v>-38086</v>
      </c>
      <c r="AA15" s="77">
        <v>-29840</v>
      </c>
      <c r="AB15" s="17"/>
      <c r="AC15" s="17"/>
      <c r="AD15" s="17"/>
      <c r="AE15" s="17"/>
    </row>
    <row r="16" spans="1:31" s="6" customFormat="1" ht="9.6">
      <c r="A16" s="6" t="s">
        <v>323</v>
      </c>
      <c r="B16" s="60" t="s">
        <v>152</v>
      </c>
      <c r="C16" s="77">
        <v>-7939</v>
      </c>
      <c r="D16" s="77">
        <v>-17462</v>
      </c>
      <c r="E16" s="77">
        <v>-11233</v>
      </c>
      <c r="F16" s="77">
        <v>-15883</v>
      </c>
      <c r="G16" s="77">
        <v>-9162</v>
      </c>
      <c r="H16" s="77">
        <v>-12426</v>
      </c>
      <c r="I16" s="77">
        <v>-14723</v>
      </c>
      <c r="J16" s="77">
        <v>-20807</v>
      </c>
      <c r="K16" s="77">
        <v>-9415</v>
      </c>
      <c r="L16" s="77">
        <v>-17188</v>
      </c>
      <c r="M16" s="77">
        <v>-16227</v>
      </c>
      <c r="N16" s="77">
        <v>-27529</v>
      </c>
      <c r="O16" s="77">
        <v>-19122</v>
      </c>
      <c r="P16" s="77">
        <v>-22124</v>
      </c>
      <c r="Q16" s="77">
        <v>-15105</v>
      </c>
      <c r="R16" s="77">
        <v>-22343</v>
      </c>
      <c r="S16" s="77">
        <v>-20602</v>
      </c>
      <c r="T16" s="77">
        <v>-18878</v>
      </c>
      <c r="U16" s="77">
        <v>-18404</v>
      </c>
      <c r="V16" s="77">
        <v>-21394</v>
      </c>
      <c r="W16" s="77">
        <v>-11741</v>
      </c>
      <c r="X16" s="77">
        <v>-16028</v>
      </c>
      <c r="Y16" s="77">
        <v>-8111</v>
      </c>
      <c r="Z16" s="77">
        <v>-15934</v>
      </c>
      <c r="AA16" s="77">
        <v>-4312</v>
      </c>
      <c r="AB16" s="17"/>
      <c r="AC16" s="17"/>
      <c r="AD16" s="17"/>
      <c r="AE16" s="17"/>
    </row>
    <row r="17" spans="1:31" s="6" customFormat="1" ht="9.6">
      <c r="A17" s="6" t="s">
        <v>324</v>
      </c>
      <c r="B17" s="60" t="s">
        <v>153</v>
      </c>
      <c r="C17" s="77">
        <v>-3923</v>
      </c>
      <c r="D17" s="77">
        <v>-6331</v>
      </c>
      <c r="E17" s="77">
        <v>-4937</v>
      </c>
      <c r="F17" s="77">
        <v>-5020</v>
      </c>
      <c r="G17" s="77">
        <v>-4598</v>
      </c>
      <c r="H17" s="77">
        <v>-15223</v>
      </c>
      <c r="I17" s="77">
        <v>-10651</v>
      </c>
      <c r="J17" s="77">
        <v>-15021</v>
      </c>
      <c r="K17" s="77">
        <v>-13337</v>
      </c>
      <c r="L17" s="77">
        <v>-14022</v>
      </c>
      <c r="M17" s="77">
        <v>-4326</v>
      </c>
      <c r="N17" s="77">
        <v>-14541</v>
      </c>
      <c r="O17" s="77">
        <v>-8587</v>
      </c>
      <c r="P17" s="77">
        <v>-6728</v>
      </c>
      <c r="Q17" s="77">
        <v>-4354</v>
      </c>
      <c r="R17" s="77">
        <v>-8412</v>
      </c>
      <c r="S17" s="77">
        <v>-9794</v>
      </c>
      <c r="T17" s="77">
        <v>-6203</v>
      </c>
      <c r="U17" s="77">
        <v>-5343</v>
      </c>
      <c r="V17" s="77">
        <v>-8697</v>
      </c>
      <c r="W17" s="77">
        <v>-6044</v>
      </c>
      <c r="X17" s="77">
        <v>-5628</v>
      </c>
      <c r="Y17" s="77">
        <v>-2661</v>
      </c>
      <c r="Z17" s="77">
        <v>-7784</v>
      </c>
      <c r="AA17" s="77">
        <v>-2017</v>
      </c>
      <c r="AB17" s="17"/>
      <c r="AC17" s="17"/>
      <c r="AD17" s="17"/>
      <c r="AE17" s="17"/>
    </row>
    <row r="18" spans="1:31" s="6" customFormat="1" ht="9.6">
      <c r="A18" s="6" t="s">
        <v>325</v>
      </c>
      <c r="B18" s="60" t="s">
        <v>154</v>
      </c>
      <c r="C18" s="77">
        <v>-7819</v>
      </c>
      <c r="D18" s="77">
        <v>-5197</v>
      </c>
      <c r="E18" s="77">
        <v>-6380</v>
      </c>
      <c r="F18" s="77">
        <v>-7292</v>
      </c>
      <c r="G18" s="77">
        <v>-6918</v>
      </c>
      <c r="H18" s="77">
        <v>-5722</v>
      </c>
      <c r="I18" s="77">
        <v>-12179</v>
      </c>
      <c r="J18" s="77">
        <v>-20593</v>
      </c>
      <c r="K18" s="77">
        <v>-13221</v>
      </c>
      <c r="L18" s="77">
        <v>-10783</v>
      </c>
      <c r="M18" s="77">
        <v>-7082</v>
      </c>
      <c r="N18" s="77">
        <v>-10845</v>
      </c>
      <c r="O18" s="77">
        <v>-6529</v>
      </c>
      <c r="P18" s="77">
        <v>-10437</v>
      </c>
      <c r="Q18" s="77">
        <v>-12596</v>
      </c>
      <c r="R18" s="77">
        <v>-10232</v>
      </c>
      <c r="S18" s="77">
        <v>-6756</v>
      </c>
      <c r="T18" s="77">
        <v>-9525</v>
      </c>
      <c r="U18" s="77">
        <v>-7151</v>
      </c>
      <c r="V18" s="77">
        <v>-10137</v>
      </c>
      <c r="W18" s="77">
        <v>-7922</v>
      </c>
      <c r="X18" s="77">
        <v>-6227</v>
      </c>
      <c r="Y18" s="77">
        <v>-6628</v>
      </c>
      <c r="Z18" s="77">
        <v>-6192</v>
      </c>
      <c r="AA18" s="77">
        <v>-5393</v>
      </c>
      <c r="AB18" s="17"/>
      <c r="AC18" s="17"/>
      <c r="AD18" s="17"/>
      <c r="AE18" s="17"/>
    </row>
    <row r="19" spans="1:31" s="6" customFormat="1" ht="9.6">
      <c r="A19" s="6" t="s">
        <v>326</v>
      </c>
      <c r="B19" s="60" t="s">
        <v>155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0</v>
      </c>
      <c r="I19" s="77">
        <v>0</v>
      </c>
      <c r="J19" s="77">
        <v>-32668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17"/>
      <c r="AC19" s="17"/>
      <c r="AD19" s="17"/>
      <c r="AE19" s="17"/>
    </row>
    <row r="20" spans="1:31" s="6" customFormat="1" ht="9.6">
      <c r="A20" s="6" t="s">
        <v>327</v>
      </c>
      <c r="B20" s="60" t="s">
        <v>156</v>
      </c>
      <c r="C20" s="77">
        <v>-2170</v>
      </c>
      <c r="D20" s="77">
        <v>-2600</v>
      </c>
      <c r="E20" s="77">
        <v>-3432</v>
      </c>
      <c r="F20" s="77">
        <v>-5701</v>
      </c>
      <c r="G20" s="77">
        <v>-5250</v>
      </c>
      <c r="H20" s="77">
        <v>-5186</v>
      </c>
      <c r="I20" s="77">
        <v>-3818</v>
      </c>
      <c r="J20" s="77">
        <v>-8518</v>
      </c>
      <c r="K20" s="77">
        <v>-3290</v>
      </c>
      <c r="L20" s="77">
        <v>-7993</v>
      </c>
      <c r="M20" s="77">
        <v>-3650</v>
      </c>
      <c r="N20" s="77">
        <v>-11778</v>
      </c>
      <c r="O20" s="77">
        <v>-5601</v>
      </c>
      <c r="P20" s="77">
        <v>-6716</v>
      </c>
      <c r="Q20" s="77">
        <v>-1520</v>
      </c>
      <c r="R20" s="77">
        <v>-13598</v>
      </c>
      <c r="S20" s="77">
        <v>-4223</v>
      </c>
      <c r="T20" s="77">
        <v>-1831</v>
      </c>
      <c r="U20" s="77">
        <v>-3062</v>
      </c>
      <c r="V20" s="77">
        <v>-7142</v>
      </c>
      <c r="W20" s="77">
        <v>-2407</v>
      </c>
      <c r="X20" s="77">
        <v>-1023</v>
      </c>
      <c r="Y20" s="77">
        <v>-1100</v>
      </c>
      <c r="Z20" s="77">
        <v>-1674</v>
      </c>
      <c r="AA20" s="77">
        <v>-834</v>
      </c>
      <c r="AB20" s="17"/>
      <c r="AC20" s="17"/>
      <c r="AD20" s="17"/>
      <c r="AE20" s="17"/>
    </row>
    <row r="21" spans="1:31" s="6" customFormat="1" ht="9.6">
      <c r="A21" s="6" t="s">
        <v>328</v>
      </c>
      <c r="B21" s="60" t="s">
        <v>157</v>
      </c>
      <c r="C21" s="77">
        <v>-3999</v>
      </c>
      <c r="D21" s="77">
        <v>-3987</v>
      </c>
      <c r="E21" s="77">
        <v>-3209</v>
      </c>
      <c r="F21" s="77">
        <v>-4778</v>
      </c>
      <c r="G21" s="77">
        <v>-2949</v>
      </c>
      <c r="H21" s="77">
        <v>-3399</v>
      </c>
      <c r="I21" s="77">
        <v>-4094</v>
      </c>
      <c r="J21" s="77">
        <v>-8691</v>
      </c>
      <c r="K21" s="77">
        <v>-4645</v>
      </c>
      <c r="L21" s="77">
        <v>-9862</v>
      </c>
      <c r="M21" s="77">
        <v>-6033</v>
      </c>
      <c r="N21" s="77">
        <v>-5690</v>
      </c>
      <c r="O21" s="77">
        <v>-6022</v>
      </c>
      <c r="P21" s="77">
        <v>-5921</v>
      </c>
      <c r="Q21" s="77">
        <v>-6238</v>
      </c>
      <c r="R21" s="77">
        <v>-6925</v>
      </c>
      <c r="S21" s="77">
        <v>-5901</v>
      </c>
      <c r="T21" s="77">
        <v>-6415</v>
      </c>
      <c r="U21" s="77">
        <v>-7799</v>
      </c>
      <c r="V21" s="77">
        <v>-8949</v>
      </c>
      <c r="W21" s="77">
        <v>-5826</v>
      </c>
      <c r="X21" s="77">
        <v>-6235</v>
      </c>
      <c r="Y21" s="77">
        <v>-7253</v>
      </c>
      <c r="Z21" s="77">
        <v>-8928</v>
      </c>
      <c r="AA21" s="77">
        <v>-6702</v>
      </c>
      <c r="AB21" s="17"/>
      <c r="AC21" s="17"/>
      <c r="AD21" s="17"/>
      <c r="AE21" s="17"/>
    </row>
    <row r="22" spans="1:31" s="6" customFormat="1" ht="19.2">
      <c r="A22" s="6" t="s">
        <v>329</v>
      </c>
      <c r="B22" s="60" t="s">
        <v>158</v>
      </c>
      <c r="C22" s="77">
        <v>-805</v>
      </c>
      <c r="D22" s="77">
        <v>-786</v>
      </c>
      <c r="E22" s="77">
        <v>-977</v>
      </c>
      <c r="F22" s="77">
        <v>-925</v>
      </c>
      <c r="G22" s="77">
        <v>-947</v>
      </c>
      <c r="H22" s="77">
        <v>-937</v>
      </c>
      <c r="I22" s="77">
        <v>-1255</v>
      </c>
      <c r="J22" s="77">
        <v>-1234</v>
      </c>
      <c r="K22" s="77">
        <v>-1522</v>
      </c>
      <c r="L22" s="77">
        <v>-1783</v>
      </c>
      <c r="M22" s="77">
        <v>-1879</v>
      </c>
      <c r="N22" s="77">
        <v>-1916</v>
      </c>
      <c r="O22" s="77">
        <v>-1940</v>
      </c>
      <c r="P22" s="77">
        <v>-1869</v>
      </c>
      <c r="Q22" s="77">
        <v>-1794</v>
      </c>
      <c r="R22" s="77">
        <v>-2181</v>
      </c>
      <c r="S22" s="77">
        <v>-1894</v>
      </c>
      <c r="T22" s="77">
        <v>-1493</v>
      </c>
      <c r="U22" s="77">
        <v>-1953</v>
      </c>
      <c r="V22" s="77">
        <v>-1426</v>
      </c>
      <c r="W22" s="77">
        <v>-2024</v>
      </c>
      <c r="X22" s="77">
        <v>-2191</v>
      </c>
      <c r="Y22" s="77">
        <v>-2347</v>
      </c>
      <c r="Z22" s="77">
        <v>-1304</v>
      </c>
      <c r="AA22" s="77">
        <v>-770</v>
      </c>
      <c r="AB22" s="17"/>
      <c r="AC22" s="17"/>
      <c r="AD22" s="17"/>
      <c r="AE22" s="17"/>
    </row>
    <row r="23" spans="1:31" s="6" customFormat="1" ht="9.6">
      <c r="A23" s="6" t="s">
        <v>330</v>
      </c>
      <c r="B23" s="60" t="s">
        <v>147</v>
      </c>
      <c r="C23" s="77">
        <v>-3029</v>
      </c>
      <c r="D23" s="77">
        <v>-9314</v>
      </c>
      <c r="E23" s="77">
        <v>-2310</v>
      </c>
      <c r="F23" s="77">
        <v>-9716</v>
      </c>
      <c r="G23" s="77">
        <v>-3183</v>
      </c>
      <c r="H23" s="77">
        <v>-5785</v>
      </c>
      <c r="I23" s="77">
        <v>-8879</v>
      </c>
      <c r="J23" s="77">
        <v>-13661</v>
      </c>
      <c r="K23" s="77">
        <v>-10256</v>
      </c>
      <c r="L23" s="77">
        <v>-14628</v>
      </c>
      <c r="M23" s="77">
        <v>-12708</v>
      </c>
      <c r="N23" s="77">
        <v>-12325</v>
      </c>
      <c r="O23" s="77">
        <v>-7998</v>
      </c>
      <c r="P23" s="77">
        <v>-18806</v>
      </c>
      <c r="Q23" s="77">
        <v>-23277</v>
      </c>
      <c r="R23" s="77">
        <v>-7351</v>
      </c>
      <c r="S23" s="77">
        <v>-15172</v>
      </c>
      <c r="T23" s="77">
        <v>-12478</v>
      </c>
      <c r="U23" s="77">
        <v>-11849</v>
      </c>
      <c r="V23" s="77">
        <v>-14964</v>
      </c>
      <c r="W23" s="77">
        <v>-17043</v>
      </c>
      <c r="X23" s="77">
        <v>-7392</v>
      </c>
      <c r="Y23" s="77">
        <v>-10694</v>
      </c>
      <c r="Z23" s="77">
        <v>-10407</v>
      </c>
      <c r="AA23" s="77">
        <v>-11252</v>
      </c>
      <c r="AB23" s="17"/>
      <c r="AC23" s="17"/>
      <c r="AD23" s="17"/>
      <c r="AE23" s="17"/>
    </row>
    <row r="24" spans="1:31" s="6" customFormat="1" ht="9.6">
      <c r="A24" s="6" t="s">
        <v>331</v>
      </c>
      <c r="B24" s="58" t="s">
        <v>159</v>
      </c>
      <c r="C24" s="59">
        <f t="shared" ref="C24:S24" si="2">SUM(C25:C27)</f>
        <v>-18954</v>
      </c>
      <c r="D24" s="59">
        <f t="shared" si="2"/>
        <v>-20934</v>
      </c>
      <c r="E24" s="59">
        <f t="shared" si="2"/>
        <v>-22935</v>
      </c>
      <c r="F24" s="59">
        <f t="shared" si="2"/>
        <v>-23540</v>
      </c>
      <c r="G24" s="59">
        <f t="shared" si="2"/>
        <v>-24977</v>
      </c>
      <c r="H24" s="59">
        <f t="shared" si="2"/>
        <v>-22526</v>
      </c>
      <c r="I24" s="59">
        <f t="shared" si="2"/>
        <v>-23166</v>
      </c>
      <c r="J24" s="59">
        <f t="shared" si="2"/>
        <v>-34808</v>
      </c>
      <c r="K24" s="59">
        <f t="shared" si="2"/>
        <v>-45105</v>
      </c>
      <c r="L24" s="59">
        <f t="shared" si="2"/>
        <v>-43430</v>
      </c>
      <c r="M24" s="59">
        <f t="shared" si="2"/>
        <v>-57976</v>
      </c>
      <c r="N24" s="59">
        <f t="shared" si="2"/>
        <v>-30529</v>
      </c>
      <c r="O24" s="59">
        <f t="shared" si="2"/>
        <v>-43235</v>
      </c>
      <c r="P24" s="59">
        <f t="shared" si="2"/>
        <v>-42810</v>
      </c>
      <c r="Q24" s="59">
        <f t="shared" si="2"/>
        <v>-44800</v>
      </c>
      <c r="R24" s="59">
        <f t="shared" si="2"/>
        <v>-43682</v>
      </c>
      <c r="S24" s="59">
        <f t="shared" si="2"/>
        <v>-59139</v>
      </c>
      <c r="T24" s="59">
        <f>SUM(T25:T27)</f>
        <v>-61584</v>
      </c>
      <c r="U24" s="59">
        <f>SUM(U25:U27)</f>
        <v>-61263</v>
      </c>
      <c r="V24" s="59">
        <v>-65607</v>
      </c>
      <c r="W24" s="59">
        <f>SUM(W25:W27)</f>
        <v>-60867</v>
      </c>
      <c r="X24" s="59">
        <v>-58955</v>
      </c>
      <c r="Y24" s="59">
        <v>-109172</v>
      </c>
      <c r="Z24" s="94">
        <f>SUM(Z25:Z27)</f>
        <v>-58663.569969999997</v>
      </c>
      <c r="AA24" s="94">
        <f>SUM(AA25:AA27)</f>
        <v>-55717</v>
      </c>
      <c r="AB24" s="17"/>
      <c r="AC24" s="17"/>
      <c r="AD24" s="17"/>
      <c r="AE24" s="17"/>
    </row>
    <row r="25" spans="1:31" s="6" customFormat="1" ht="9.6">
      <c r="A25" s="6" t="s">
        <v>332</v>
      </c>
      <c r="B25" s="60" t="s">
        <v>160</v>
      </c>
      <c r="C25" s="77">
        <v>-11480</v>
      </c>
      <c r="D25" s="77">
        <v>-11899</v>
      </c>
      <c r="E25" s="77">
        <v>-14230</v>
      </c>
      <c r="F25" s="77">
        <v>-13354</v>
      </c>
      <c r="G25" s="77">
        <v>-15439</v>
      </c>
      <c r="H25" s="77">
        <v>-12938</v>
      </c>
      <c r="I25" s="77">
        <v>-14122</v>
      </c>
      <c r="J25" s="77">
        <v>-22396</v>
      </c>
      <c r="K25" s="77">
        <v>-28454</v>
      </c>
      <c r="L25" s="77">
        <v>-25518</v>
      </c>
      <c r="M25" s="77">
        <v>-28583</v>
      </c>
      <c r="N25" s="77">
        <v>-23461</v>
      </c>
      <c r="O25" s="77">
        <v>-24172</v>
      </c>
      <c r="P25" s="77">
        <v>-23886</v>
      </c>
      <c r="Q25" s="77">
        <v>-24610</v>
      </c>
      <c r="R25" s="77">
        <v>-24883</v>
      </c>
      <c r="S25" s="77">
        <v>-22767</v>
      </c>
      <c r="T25" s="77">
        <v>-22028</v>
      </c>
      <c r="U25" s="77">
        <v>-21694</v>
      </c>
      <c r="V25" s="77">
        <v>-20926</v>
      </c>
      <c r="W25" s="77">
        <v>-19966</v>
      </c>
      <c r="X25" s="77">
        <v>-19252</v>
      </c>
      <c r="Y25" s="77">
        <v>-22904</v>
      </c>
      <c r="Z25" s="77">
        <v>-19208</v>
      </c>
      <c r="AA25" s="77">
        <v>-18776</v>
      </c>
      <c r="AB25" s="17"/>
      <c r="AC25" s="17"/>
      <c r="AD25" s="17"/>
      <c r="AE25" s="17"/>
    </row>
    <row r="26" spans="1:31" s="6" customFormat="1" ht="9.6">
      <c r="A26" s="6" t="s">
        <v>333</v>
      </c>
      <c r="B26" s="60" t="s">
        <v>161</v>
      </c>
      <c r="C26" s="77">
        <v>-7474</v>
      </c>
      <c r="D26" s="77">
        <v>-9035</v>
      </c>
      <c r="E26" s="77">
        <v>-8705</v>
      </c>
      <c r="F26" s="77">
        <v>-10186</v>
      </c>
      <c r="G26" s="77">
        <v>-9538</v>
      </c>
      <c r="H26" s="77">
        <v>-9588</v>
      </c>
      <c r="I26" s="77">
        <v>-9044</v>
      </c>
      <c r="J26" s="77">
        <v>-12412</v>
      </c>
      <c r="K26" s="77">
        <v>-16651</v>
      </c>
      <c r="L26" s="77">
        <v>-17912</v>
      </c>
      <c r="M26" s="77">
        <v>-29393</v>
      </c>
      <c r="N26" s="77">
        <v>-7068</v>
      </c>
      <c r="O26" s="77">
        <v>-19063</v>
      </c>
      <c r="P26" s="77">
        <v>-18924</v>
      </c>
      <c r="Q26" s="77">
        <v>-20190</v>
      </c>
      <c r="R26" s="77">
        <v>-18799</v>
      </c>
      <c r="S26" s="77">
        <v>-14734</v>
      </c>
      <c r="T26" s="77">
        <v>-15784</v>
      </c>
      <c r="U26" s="77">
        <v>-15241</v>
      </c>
      <c r="V26" s="77">
        <v>-22208</v>
      </c>
      <c r="W26" s="77">
        <v>-17169</v>
      </c>
      <c r="X26" s="77">
        <v>-16388</v>
      </c>
      <c r="Y26" s="77">
        <v>-63578</v>
      </c>
      <c r="Z26" s="77">
        <v>-15924</v>
      </c>
      <c r="AA26" s="77">
        <v>-14771</v>
      </c>
      <c r="AB26" s="17"/>
      <c r="AC26" s="17"/>
      <c r="AD26" s="17"/>
      <c r="AE26" s="17"/>
    </row>
    <row r="27" spans="1:31" s="6" customFormat="1" ht="9.6">
      <c r="A27" s="6" t="s">
        <v>96</v>
      </c>
      <c r="B27" s="60" t="s">
        <v>96</v>
      </c>
      <c r="C27" s="80" t="s">
        <v>123</v>
      </c>
      <c r="D27" s="80" t="s">
        <v>123</v>
      </c>
      <c r="E27" s="80" t="s">
        <v>123</v>
      </c>
      <c r="F27" s="80" t="s">
        <v>123</v>
      </c>
      <c r="G27" s="80" t="s">
        <v>123</v>
      </c>
      <c r="H27" s="80" t="s">
        <v>123</v>
      </c>
      <c r="I27" s="80" t="s">
        <v>123</v>
      </c>
      <c r="J27" s="80" t="s">
        <v>123</v>
      </c>
      <c r="K27" s="80" t="s">
        <v>123</v>
      </c>
      <c r="L27" s="80" t="s">
        <v>123</v>
      </c>
      <c r="M27" s="80" t="s">
        <v>123</v>
      </c>
      <c r="N27" s="80" t="s">
        <v>123</v>
      </c>
      <c r="O27" s="80" t="s">
        <v>123</v>
      </c>
      <c r="P27" s="80" t="s">
        <v>123</v>
      </c>
      <c r="Q27" s="80" t="s">
        <v>123</v>
      </c>
      <c r="R27" s="80" t="s">
        <v>123</v>
      </c>
      <c r="S27" s="77">
        <v>-21638</v>
      </c>
      <c r="T27" s="77">
        <v>-23772</v>
      </c>
      <c r="U27" s="77">
        <v>-24328</v>
      </c>
      <c r="V27" s="77">
        <v>-22473</v>
      </c>
      <c r="W27" s="77">
        <v>-23732</v>
      </c>
      <c r="X27" s="77">
        <v>-23315</v>
      </c>
      <c r="Y27" s="77">
        <v>-22690</v>
      </c>
      <c r="Z27" s="77">
        <v>-23531.569969999997</v>
      </c>
      <c r="AA27" s="77">
        <v>-22170</v>
      </c>
      <c r="AB27" s="17"/>
      <c r="AC27" s="17"/>
      <c r="AD27" s="17"/>
      <c r="AE27" s="17"/>
    </row>
    <row r="28" spans="1:31" s="6" customFormat="1" ht="9.6">
      <c r="A28" s="6" t="s">
        <v>334</v>
      </c>
      <c r="B28" s="58" t="s">
        <v>162</v>
      </c>
      <c r="C28" s="59">
        <v>-2172</v>
      </c>
      <c r="D28" s="59">
        <v>-704</v>
      </c>
      <c r="E28" s="59">
        <v>-2235</v>
      </c>
      <c r="F28" s="59">
        <v>-1172</v>
      </c>
      <c r="G28" s="59">
        <v>-2824</v>
      </c>
      <c r="H28" s="59">
        <v>-1818</v>
      </c>
      <c r="I28" s="59">
        <v>-2338</v>
      </c>
      <c r="J28" s="59">
        <v>-391</v>
      </c>
      <c r="K28" s="59">
        <v>-2290</v>
      </c>
      <c r="L28" s="59">
        <v>-1593</v>
      </c>
      <c r="M28" s="59">
        <v>-2154</v>
      </c>
      <c r="N28" s="59">
        <v>-5490</v>
      </c>
      <c r="O28" s="59">
        <v>-1839</v>
      </c>
      <c r="P28" s="59">
        <v>-1696</v>
      </c>
      <c r="Q28" s="59">
        <v>-8758</v>
      </c>
      <c r="R28" s="59">
        <v>-12233</v>
      </c>
      <c r="S28" s="59">
        <v>-3759</v>
      </c>
      <c r="T28" s="59">
        <v>-6409</v>
      </c>
      <c r="U28" s="59">
        <v>-7158</v>
      </c>
      <c r="V28" s="59">
        <v>-6809</v>
      </c>
      <c r="W28" s="59">
        <v>-6089</v>
      </c>
      <c r="X28" s="59">
        <v>-6371</v>
      </c>
      <c r="Y28" s="59">
        <v>-6216</v>
      </c>
      <c r="Z28" s="94">
        <v>-6513</v>
      </c>
      <c r="AA28" s="94">
        <v>-6340</v>
      </c>
      <c r="AB28" s="17"/>
      <c r="AC28" s="17"/>
      <c r="AD28" s="17"/>
      <c r="AE28" s="17"/>
    </row>
    <row r="29" spans="1:31" s="6" customFormat="1" ht="9.6">
      <c r="A29" s="6" t="s">
        <v>335</v>
      </c>
      <c r="B29" s="58" t="s">
        <v>163</v>
      </c>
      <c r="C29" s="59">
        <f t="shared" ref="C29:S29" si="3">C3+C12+C24+C28</f>
        <v>-257858</v>
      </c>
      <c r="D29" s="59">
        <f t="shared" si="3"/>
        <v>-262534</v>
      </c>
      <c r="E29" s="59">
        <f t="shared" si="3"/>
        <v>-262421</v>
      </c>
      <c r="F29" s="59">
        <f t="shared" si="3"/>
        <v>-325079</v>
      </c>
      <c r="G29" s="59">
        <f t="shared" si="3"/>
        <v>-276614</v>
      </c>
      <c r="H29" s="59">
        <f t="shared" si="3"/>
        <v>-287215</v>
      </c>
      <c r="I29" s="59">
        <f t="shared" si="3"/>
        <v>-297109</v>
      </c>
      <c r="J29" s="59">
        <f t="shared" si="3"/>
        <v>-705622</v>
      </c>
      <c r="K29" s="59">
        <f t="shared" si="3"/>
        <v>-498903</v>
      </c>
      <c r="L29" s="59">
        <f t="shared" si="3"/>
        <v>-503156</v>
      </c>
      <c r="M29" s="59">
        <f t="shared" si="3"/>
        <v>-401139</v>
      </c>
      <c r="N29" s="59">
        <f t="shared" si="3"/>
        <v>-450379</v>
      </c>
      <c r="O29" s="59">
        <f t="shared" si="3"/>
        <v>-456093</v>
      </c>
      <c r="P29" s="59">
        <f t="shared" si="3"/>
        <v>-430160</v>
      </c>
      <c r="Q29" s="59">
        <f t="shared" si="3"/>
        <v>-411309</v>
      </c>
      <c r="R29" s="59">
        <f t="shared" si="3"/>
        <v>-407441</v>
      </c>
      <c r="S29" s="59">
        <f t="shared" si="3"/>
        <v>-512397</v>
      </c>
      <c r="T29" s="59">
        <f>T3+T12+T24+T28</f>
        <v>-393558</v>
      </c>
      <c r="U29" s="59">
        <v>-371987</v>
      </c>
      <c r="V29" s="59">
        <v>-352162</v>
      </c>
      <c r="W29" s="59">
        <f>W3+W12+W24+W28</f>
        <v>-481591</v>
      </c>
      <c r="X29" s="59">
        <f>X3+X12+X24+X28</f>
        <v>-394980</v>
      </c>
      <c r="Y29" s="59">
        <f>Y3+Y12+Y24+Y28</f>
        <v>-407800</v>
      </c>
      <c r="Z29" s="94">
        <f>Z3+Z12+Z24+Z28</f>
        <v>-380470.56997000001</v>
      </c>
      <c r="AA29" s="94">
        <f>AA3+AA12+AA24+AA28</f>
        <v>-417941</v>
      </c>
      <c r="AB29" s="17"/>
      <c r="AC29" s="17"/>
      <c r="AD29" s="17"/>
      <c r="AE29" s="17"/>
    </row>
    <row r="30" spans="1:31">
      <c r="Z30" s="6"/>
      <c r="AA30" s="17"/>
      <c r="AB30" s="17"/>
      <c r="AC30" s="17"/>
      <c r="AD30" s="17"/>
    </row>
    <row r="31" spans="1:31">
      <c r="Z31" s="6"/>
      <c r="AA31" s="17"/>
      <c r="AB31" s="17"/>
      <c r="AC31" s="17"/>
      <c r="AD31" s="17"/>
    </row>
    <row r="32" spans="1:31">
      <c r="U32"/>
      <c r="Z32" s="6"/>
      <c r="AA32" s="17"/>
      <c r="AB32" s="17"/>
      <c r="AC32" s="17"/>
      <c r="AD32" s="17"/>
    </row>
    <row r="33" spans="26:30">
      <c r="Z33" s="17"/>
      <c r="AA33" s="17"/>
      <c r="AB33" s="17"/>
      <c r="AC33" s="17"/>
      <c r="AD33" s="17"/>
    </row>
    <row r="34" spans="26:30">
      <c r="AA34" s="17"/>
      <c r="AB34" s="17"/>
      <c r="AC34" s="17"/>
    </row>
    <row r="35" spans="26:30">
      <c r="AA35" s="6"/>
      <c r="AB35" s="17"/>
      <c r="AC35" s="17"/>
    </row>
    <row r="36" spans="26:30">
      <c r="AA36" s="6"/>
      <c r="AB36" s="17"/>
      <c r="AC36" s="17"/>
    </row>
    <row r="37" spans="26:30">
      <c r="AA37" s="6"/>
      <c r="AB37" s="17"/>
    </row>
    <row r="38" spans="26:30">
      <c r="AA38" s="6"/>
    </row>
    <row r="39" spans="26:30">
      <c r="AA39" s="6"/>
    </row>
    <row r="40" spans="26:30">
      <c r="AA40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D37"/>
  <sheetViews>
    <sheetView zoomScale="90" zoomScaleNormal="90" workbookViewId="0">
      <pane xSplit="2" ySplit="2" topLeftCell="Z3" activePane="bottomRight" state="frozen"/>
      <selection pane="topRight" activeCell="C1" sqref="C1"/>
      <selection pane="bottomLeft" activeCell="A4" sqref="A4"/>
      <selection pane="bottomRight"/>
    </sheetView>
  </sheetViews>
  <sheetFormatPr defaultRowHeight="10.199999999999999"/>
  <cols>
    <col min="1" max="1" width="42.85546875" style="4" customWidth="1"/>
    <col min="2" max="2" width="41.140625" customWidth="1"/>
    <col min="3" max="25" width="11.140625" customWidth="1"/>
    <col min="26" max="27" width="18" customWidth="1"/>
    <col min="28" max="29" width="14.85546875" style="91" customWidth="1"/>
  </cols>
  <sheetData>
    <row r="1" spans="1:30" ht="10.8" thickBot="1"/>
    <row r="2" spans="1:30" ht="19.8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45" t="s">
        <v>358</v>
      </c>
      <c r="X2" s="45" t="s">
        <v>364</v>
      </c>
      <c r="Y2" s="45" t="s">
        <v>370</v>
      </c>
      <c r="Z2" s="45" t="s">
        <v>374</v>
      </c>
      <c r="AA2" s="45" t="s">
        <v>392</v>
      </c>
    </row>
    <row r="3" spans="1:30" s="7" customFormat="1" ht="10.8" thickBot="1">
      <c r="A3" s="6" t="s">
        <v>295</v>
      </c>
      <c r="B3" s="46" t="s">
        <v>124</v>
      </c>
      <c r="C3" s="47">
        <v>-139411</v>
      </c>
      <c r="D3" s="47">
        <v>-171550</v>
      </c>
      <c r="E3" s="47">
        <v>-159021</v>
      </c>
      <c r="F3" s="47">
        <v>-179155</v>
      </c>
      <c r="G3" s="47">
        <v>-161366</v>
      </c>
      <c r="H3" s="47">
        <v>-158213</v>
      </c>
      <c r="I3" s="47">
        <v>-187100</v>
      </c>
      <c r="J3" s="47">
        <v>-224728</v>
      </c>
      <c r="K3" s="47">
        <v>-191815</v>
      </c>
      <c r="L3" s="47">
        <v>-241103</v>
      </c>
      <c r="M3" s="47">
        <v>-189063</v>
      </c>
      <c r="N3" s="47">
        <v>-265971</v>
      </c>
      <c r="O3" s="47">
        <v>-289904</v>
      </c>
      <c r="P3" s="47">
        <v>-256111</v>
      </c>
      <c r="Q3" s="47">
        <v>-301583</v>
      </c>
      <c r="R3" s="47">
        <v>-402493</v>
      </c>
      <c r="S3" s="47">
        <v>-308885</v>
      </c>
      <c r="T3" s="47">
        <v>-508721</v>
      </c>
      <c r="U3" s="47">
        <f>U4</f>
        <v>-356098</v>
      </c>
      <c r="V3" s="47">
        <v>-353797</v>
      </c>
      <c r="W3" s="47">
        <f>W4</f>
        <v>-264994</v>
      </c>
      <c r="X3" s="47">
        <f>X4</f>
        <v>-727362</v>
      </c>
      <c r="Y3" s="47">
        <f>Y4</f>
        <v>-243493</v>
      </c>
      <c r="Z3" s="47">
        <f>Z4</f>
        <v>-331158</v>
      </c>
      <c r="AA3" s="47">
        <f>AA4</f>
        <v>-395036</v>
      </c>
      <c r="AB3" s="89"/>
      <c r="AC3" s="89"/>
    </row>
    <row r="4" spans="1:30" s="7" customFormat="1" ht="10.8" thickBot="1">
      <c r="A4" s="6" t="s">
        <v>296</v>
      </c>
      <c r="B4" s="48" t="s">
        <v>125</v>
      </c>
      <c r="C4" s="49">
        <v>-139411</v>
      </c>
      <c r="D4" s="49">
        <v>-171550</v>
      </c>
      <c r="E4" s="49">
        <v>-159021</v>
      </c>
      <c r="F4" s="49">
        <v>-179155</v>
      </c>
      <c r="G4" s="49">
        <v>-161366</v>
      </c>
      <c r="H4" s="49">
        <v>-158213</v>
      </c>
      <c r="I4" s="49">
        <v>-187100</v>
      </c>
      <c r="J4" s="49">
        <v>-224728</v>
      </c>
      <c r="K4" s="49">
        <v>-191815</v>
      </c>
      <c r="L4" s="49">
        <v>-241103</v>
      </c>
      <c r="M4" s="49">
        <v>-189063</v>
      </c>
      <c r="N4" s="49">
        <v>-265971</v>
      </c>
      <c r="O4" s="49">
        <v>-289904</v>
      </c>
      <c r="P4" s="49">
        <v>-256111</v>
      </c>
      <c r="Q4" s="49">
        <v>-301583</v>
      </c>
      <c r="R4" s="49">
        <v>-402493</v>
      </c>
      <c r="S4" s="49">
        <v>-308885</v>
      </c>
      <c r="T4" s="49">
        <v>-508721</v>
      </c>
      <c r="U4" s="49">
        <f>U5+U6</f>
        <v>-356098</v>
      </c>
      <c r="V4" s="49">
        <v>-353797</v>
      </c>
      <c r="W4" s="49">
        <f>W5+W6</f>
        <v>-264994</v>
      </c>
      <c r="X4" s="49">
        <f>X5+X6</f>
        <v>-727362</v>
      </c>
      <c r="Y4" s="49">
        <v>-243493</v>
      </c>
      <c r="Z4" s="49">
        <f>Z5+Z6</f>
        <v>-331158</v>
      </c>
      <c r="AA4" s="49">
        <f>AA5+AA6</f>
        <v>-395036</v>
      </c>
      <c r="AB4" s="89"/>
      <c r="AC4" s="89"/>
      <c r="AD4" s="8"/>
    </row>
    <row r="5" spans="1:30" s="7" customFormat="1" ht="10.8" thickBot="1">
      <c r="A5" s="6" t="s">
        <v>297</v>
      </c>
      <c r="B5" s="50" t="s">
        <v>126</v>
      </c>
      <c r="C5" s="51">
        <v>-91063</v>
      </c>
      <c r="D5" s="51">
        <v>-117224</v>
      </c>
      <c r="E5" s="51">
        <v>-99927</v>
      </c>
      <c r="F5" s="51">
        <v>-138004</v>
      </c>
      <c r="G5" s="51">
        <v>-111289</v>
      </c>
      <c r="H5" s="51">
        <v>-96906</v>
      </c>
      <c r="I5" s="51">
        <v>-121787</v>
      </c>
      <c r="J5" s="51">
        <v>-144881</v>
      </c>
      <c r="K5" s="51">
        <v>-119944</v>
      </c>
      <c r="L5" s="51">
        <v>-149220</v>
      </c>
      <c r="M5" s="51">
        <v>-74684</v>
      </c>
      <c r="N5" s="51">
        <v>-147621</v>
      </c>
      <c r="O5" s="51">
        <v>-150043</v>
      </c>
      <c r="P5" s="51">
        <v>-119581</v>
      </c>
      <c r="Q5" s="51">
        <v>-141853</v>
      </c>
      <c r="R5" s="51">
        <v>-136119</v>
      </c>
      <c r="S5" s="51">
        <v>-129922</v>
      </c>
      <c r="T5" s="51">
        <v>-143949</v>
      </c>
      <c r="U5" s="51">
        <v>-170592</v>
      </c>
      <c r="V5" s="51">
        <v>-157486</v>
      </c>
      <c r="W5" s="51">
        <v>-153663</v>
      </c>
      <c r="X5" s="51">
        <v>-237514</v>
      </c>
      <c r="Y5" s="51">
        <v>-129115</v>
      </c>
      <c r="Z5" s="51">
        <v>-198527</v>
      </c>
      <c r="AA5" s="51">
        <v>-213412</v>
      </c>
      <c r="AB5" s="89"/>
      <c r="AC5" s="89"/>
      <c r="AD5" s="8"/>
    </row>
    <row r="6" spans="1:30" s="7" customFormat="1" ht="10.8" thickBot="1">
      <c r="A6" s="6" t="s">
        <v>298</v>
      </c>
      <c r="B6" s="50" t="s">
        <v>127</v>
      </c>
      <c r="C6" s="51">
        <v>-48348</v>
      </c>
      <c r="D6" s="51">
        <v>-54326</v>
      </c>
      <c r="E6" s="51">
        <v>-59094</v>
      </c>
      <c r="F6" s="51">
        <v>-41151</v>
      </c>
      <c r="G6" s="51">
        <v>-50077</v>
      </c>
      <c r="H6" s="51">
        <v>-61307</v>
      </c>
      <c r="I6" s="51">
        <v>-65313</v>
      </c>
      <c r="J6" s="51">
        <v>-79847</v>
      </c>
      <c r="K6" s="51">
        <v>-71871</v>
      </c>
      <c r="L6" s="51">
        <v>-91883</v>
      </c>
      <c r="M6" s="51">
        <v>-114379</v>
      </c>
      <c r="N6" s="51">
        <v>-118350</v>
      </c>
      <c r="O6" s="51">
        <v>-139861</v>
      </c>
      <c r="P6" s="51">
        <v>-136530</v>
      </c>
      <c r="Q6" s="51">
        <v>-159730</v>
      </c>
      <c r="R6" s="51">
        <v>-266374</v>
      </c>
      <c r="S6" s="51">
        <v>-178963</v>
      </c>
      <c r="T6" s="51">
        <v>-364772</v>
      </c>
      <c r="U6" s="51">
        <v>-185506</v>
      </c>
      <c r="V6" s="51">
        <v>-196311</v>
      </c>
      <c r="W6" s="51">
        <v>-111331</v>
      </c>
      <c r="X6" s="51">
        <v>-489848</v>
      </c>
      <c r="Y6" s="51">
        <v>-114378</v>
      </c>
      <c r="Z6" s="51">
        <v>-132631</v>
      </c>
      <c r="AA6" s="51">
        <v>-181624</v>
      </c>
      <c r="AB6" s="89"/>
      <c r="AC6" s="89"/>
      <c r="AD6" s="8"/>
    </row>
    <row r="7" spans="1:30" s="7" customFormat="1" ht="19.8" thickBot="1">
      <c r="A7" s="6" t="s">
        <v>308</v>
      </c>
      <c r="B7" s="52" t="s">
        <v>138</v>
      </c>
      <c r="C7" s="53">
        <v>0</v>
      </c>
      <c r="D7" s="53">
        <v>0</v>
      </c>
      <c r="E7" s="53">
        <v>0</v>
      </c>
      <c r="F7" s="53">
        <v>-7981</v>
      </c>
      <c r="G7" s="53">
        <v>-6974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16921</v>
      </c>
      <c r="O7" s="53" t="s">
        <v>123</v>
      </c>
      <c r="P7" s="53" t="s">
        <v>123</v>
      </c>
      <c r="Q7" s="53" t="s">
        <v>123</v>
      </c>
      <c r="R7" s="53" t="s">
        <v>123</v>
      </c>
      <c r="S7" s="53" t="s">
        <v>123</v>
      </c>
      <c r="T7" s="53" t="s">
        <v>123</v>
      </c>
      <c r="U7" s="53" t="s">
        <v>123</v>
      </c>
      <c r="V7" s="53" t="s">
        <v>123</v>
      </c>
      <c r="W7" s="53" t="s">
        <v>123</v>
      </c>
      <c r="X7" s="53" t="s">
        <v>123</v>
      </c>
      <c r="Y7" s="53" t="s">
        <v>123</v>
      </c>
      <c r="Z7" s="53" t="s">
        <v>123</v>
      </c>
      <c r="AA7" s="53" t="s">
        <v>123</v>
      </c>
      <c r="AB7" s="89"/>
      <c r="AC7" s="89"/>
      <c r="AD7" s="8"/>
    </row>
    <row r="8" spans="1:30" s="7" customFormat="1" ht="10.8" thickBot="1">
      <c r="A8" s="6" t="s">
        <v>184</v>
      </c>
      <c r="B8" s="52" t="s">
        <v>59</v>
      </c>
      <c r="C8" s="53" t="s">
        <v>123</v>
      </c>
      <c r="D8" s="53" t="s">
        <v>123</v>
      </c>
      <c r="E8" s="53" t="s">
        <v>123</v>
      </c>
      <c r="F8" s="53" t="s">
        <v>123</v>
      </c>
      <c r="G8" s="53" t="s">
        <v>123</v>
      </c>
      <c r="H8" s="53" t="s">
        <v>123</v>
      </c>
      <c r="I8" s="53" t="s">
        <v>123</v>
      </c>
      <c r="J8" s="53" t="s">
        <v>123</v>
      </c>
      <c r="K8" s="53" t="s">
        <v>123</v>
      </c>
      <c r="L8" s="53" t="s">
        <v>123</v>
      </c>
      <c r="M8" s="53" t="s">
        <v>123</v>
      </c>
      <c r="N8" s="53" t="s">
        <v>123</v>
      </c>
      <c r="O8" s="53">
        <v>532</v>
      </c>
      <c r="P8" s="53">
        <v>2962</v>
      </c>
      <c r="Q8" s="53">
        <v>25</v>
      </c>
      <c r="R8" s="53">
        <v>-699</v>
      </c>
      <c r="S8" s="53">
        <v>3538</v>
      </c>
      <c r="T8" s="53">
        <v>379</v>
      </c>
      <c r="U8" s="53">
        <v>346</v>
      </c>
      <c r="V8" s="53">
        <v>-1316</v>
      </c>
      <c r="W8" s="53">
        <v>-1582</v>
      </c>
      <c r="X8" s="53">
        <v>-8762</v>
      </c>
      <c r="Y8" s="53">
        <v>312</v>
      </c>
      <c r="Z8" s="53">
        <v>1340</v>
      </c>
      <c r="AA8" s="53">
        <v>-381</v>
      </c>
      <c r="AB8" s="89"/>
      <c r="AC8" s="89"/>
      <c r="AD8" s="8"/>
    </row>
    <row r="9" spans="1:30" s="38" customFormat="1" ht="19.8" thickBot="1">
      <c r="A9" s="6" t="s">
        <v>309</v>
      </c>
      <c r="B9" s="54" t="s">
        <v>137</v>
      </c>
      <c r="C9" s="55">
        <v>-2303</v>
      </c>
      <c r="D9" s="55">
        <v>16296</v>
      </c>
      <c r="E9" s="55">
        <v>-13084</v>
      </c>
      <c r="F9" s="55">
        <v>-2976</v>
      </c>
      <c r="G9" s="55">
        <v>890</v>
      </c>
      <c r="H9" s="55">
        <v>-9566</v>
      </c>
      <c r="I9" s="55">
        <v>-8887</v>
      </c>
      <c r="J9" s="55">
        <v>-18845</v>
      </c>
      <c r="K9" s="55">
        <v>-17267</v>
      </c>
      <c r="L9" s="55">
        <v>105</v>
      </c>
      <c r="M9" s="55">
        <v>-13343</v>
      </c>
      <c r="N9" s="55">
        <v>3947</v>
      </c>
      <c r="O9" s="55" t="s">
        <v>123</v>
      </c>
      <c r="P9" s="55" t="s">
        <v>123</v>
      </c>
      <c r="Q9" s="55" t="s">
        <v>123</v>
      </c>
      <c r="R9" s="55" t="s">
        <v>123</v>
      </c>
      <c r="S9" s="55" t="s">
        <v>123</v>
      </c>
      <c r="T9" s="55" t="s">
        <v>123</v>
      </c>
      <c r="U9" s="55" t="s">
        <v>123</v>
      </c>
      <c r="V9" s="55" t="s">
        <v>123</v>
      </c>
      <c r="W9" s="55" t="s">
        <v>123</v>
      </c>
      <c r="X9" s="55" t="s">
        <v>123</v>
      </c>
      <c r="Y9" s="55" t="s">
        <v>123</v>
      </c>
      <c r="Z9" s="55" t="s">
        <v>123</v>
      </c>
      <c r="AA9" s="55" t="s">
        <v>123</v>
      </c>
      <c r="AB9" s="89"/>
      <c r="AC9" s="89"/>
      <c r="AD9" s="8"/>
    </row>
    <row r="10" spans="1:30" s="7" customFormat="1" ht="10.8" thickBot="1">
      <c r="A10" s="6" t="s">
        <v>297</v>
      </c>
      <c r="B10" s="50" t="s">
        <v>130</v>
      </c>
      <c r="C10" s="51">
        <v>-1177</v>
      </c>
      <c r="D10" s="51">
        <v>14759</v>
      </c>
      <c r="E10" s="51">
        <v>-13331</v>
      </c>
      <c r="F10" s="51">
        <v>-1934</v>
      </c>
      <c r="G10" s="51">
        <v>-2229</v>
      </c>
      <c r="H10" s="51">
        <v>-11410</v>
      </c>
      <c r="I10" s="51">
        <v>1116</v>
      </c>
      <c r="J10" s="51">
        <v>2106</v>
      </c>
      <c r="K10" s="51">
        <v>-5437</v>
      </c>
      <c r="L10" s="51">
        <v>33565</v>
      </c>
      <c r="M10" s="51">
        <v>1600</v>
      </c>
      <c r="N10" s="51">
        <v>-32521</v>
      </c>
      <c r="O10" s="51" t="s">
        <v>123</v>
      </c>
      <c r="P10" s="51" t="s">
        <v>123</v>
      </c>
      <c r="Q10" s="51" t="s">
        <v>123</v>
      </c>
      <c r="R10" s="51" t="s">
        <v>123</v>
      </c>
      <c r="S10" s="51" t="s">
        <v>123</v>
      </c>
      <c r="T10" s="51" t="s">
        <v>123</v>
      </c>
      <c r="U10" s="51" t="s">
        <v>123</v>
      </c>
      <c r="V10" s="51" t="s">
        <v>123</v>
      </c>
      <c r="W10" s="51" t="s">
        <v>123</v>
      </c>
      <c r="X10" s="51" t="s">
        <v>123</v>
      </c>
      <c r="Y10" s="51" t="s">
        <v>123</v>
      </c>
      <c r="Z10" s="51" t="s">
        <v>123</v>
      </c>
      <c r="AA10" s="51" t="s">
        <v>123</v>
      </c>
      <c r="AB10" s="89"/>
      <c r="AC10" s="89"/>
      <c r="AD10" s="8"/>
    </row>
    <row r="11" spans="1:30" s="7" customFormat="1" ht="10.8" thickBot="1">
      <c r="A11" s="6" t="s">
        <v>298</v>
      </c>
      <c r="B11" s="50" t="s">
        <v>131</v>
      </c>
      <c r="C11" s="51">
        <v>-1126</v>
      </c>
      <c r="D11" s="51">
        <v>1537</v>
      </c>
      <c r="E11" s="51">
        <v>247</v>
      </c>
      <c r="F11" s="51">
        <v>-1042</v>
      </c>
      <c r="G11" s="51">
        <v>3119</v>
      </c>
      <c r="H11" s="51">
        <v>1844</v>
      </c>
      <c r="I11" s="51">
        <v>-10003</v>
      </c>
      <c r="J11" s="51">
        <v>-20951</v>
      </c>
      <c r="K11" s="51">
        <v>-11830</v>
      </c>
      <c r="L11" s="51">
        <v>-33460</v>
      </c>
      <c r="M11" s="51">
        <v>-14943</v>
      </c>
      <c r="N11" s="51">
        <v>36468</v>
      </c>
      <c r="O11" s="51" t="s">
        <v>123</v>
      </c>
      <c r="P11" s="51" t="s">
        <v>123</v>
      </c>
      <c r="Q11" s="51" t="s">
        <v>123</v>
      </c>
      <c r="R11" s="51" t="s">
        <v>123</v>
      </c>
      <c r="S11" s="51" t="s">
        <v>123</v>
      </c>
      <c r="T11" s="51" t="s">
        <v>123</v>
      </c>
      <c r="U11" s="51" t="s">
        <v>123</v>
      </c>
      <c r="V11" s="51" t="s">
        <v>123</v>
      </c>
      <c r="W11" s="51" t="s">
        <v>123</v>
      </c>
      <c r="X11" s="51" t="s">
        <v>123</v>
      </c>
      <c r="Y11" s="51" t="s">
        <v>123</v>
      </c>
      <c r="Z11" s="51" t="s">
        <v>123</v>
      </c>
      <c r="AA11" s="51" t="s">
        <v>123</v>
      </c>
      <c r="AB11" s="89"/>
      <c r="AC11" s="89"/>
      <c r="AD11" s="8"/>
    </row>
    <row r="12" spans="1:30" s="7" customFormat="1" ht="10.8" thickBot="1">
      <c r="A12" s="6" t="s">
        <v>299</v>
      </c>
      <c r="B12" s="56" t="s">
        <v>128</v>
      </c>
      <c r="C12" s="57" t="s">
        <v>123</v>
      </c>
      <c r="D12" s="57" t="s">
        <v>123</v>
      </c>
      <c r="E12" s="57" t="s">
        <v>123</v>
      </c>
      <c r="F12" s="57" t="s">
        <v>123</v>
      </c>
      <c r="G12" s="57" t="s">
        <v>123</v>
      </c>
      <c r="H12" s="57" t="s">
        <v>123</v>
      </c>
      <c r="I12" s="57" t="s">
        <v>123</v>
      </c>
      <c r="J12" s="57" t="s">
        <v>123</v>
      </c>
      <c r="K12" s="57" t="s">
        <v>123</v>
      </c>
      <c r="L12" s="57" t="s">
        <v>123</v>
      </c>
      <c r="M12" s="57" t="s">
        <v>123</v>
      </c>
      <c r="N12" s="57" t="s">
        <v>123</v>
      </c>
      <c r="O12" s="57">
        <v>20321</v>
      </c>
      <c r="P12" s="57">
        <v>30927</v>
      </c>
      <c r="Q12" s="57">
        <v>39266</v>
      </c>
      <c r="R12" s="57">
        <v>32500</v>
      </c>
      <c r="S12" s="57">
        <v>29925</v>
      </c>
      <c r="T12" s="57">
        <v>62</v>
      </c>
      <c r="U12" s="57">
        <f>U13+U16</f>
        <v>29450</v>
      </c>
      <c r="V12" s="57">
        <v>16653</v>
      </c>
      <c r="W12" s="57">
        <f>W13+W16</f>
        <v>-13704</v>
      </c>
      <c r="X12" s="57">
        <f>X13+X16</f>
        <v>-74912</v>
      </c>
      <c r="Y12" s="57">
        <v>-54159</v>
      </c>
      <c r="Z12" s="57">
        <f>Z13+Z16</f>
        <v>51114</v>
      </c>
      <c r="AA12" s="57">
        <f>AA13+AA16</f>
        <v>129991</v>
      </c>
      <c r="AB12" s="89"/>
      <c r="AC12" s="89"/>
      <c r="AD12" s="8"/>
    </row>
    <row r="13" spans="1:30" s="7" customFormat="1" ht="10.8" thickBot="1">
      <c r="A13" s="6" t="s">
        <v>302</v>
      </c>
      <c r="B13" s="48" t="s">
        <v>129</v>
      </c>
      <c r="C13" s="49" t="s">
        <v>123</v>
      </c>
      <c r="D13" s="49" t="s">
        <v>123</v>
      </c>
      <c r="E13" s="49" t="s">
        <v>123</v>
      </c>
      <c r="F13" s="49" t="s">
        <v>123</v>
      </c>
      <c r="G13" s="49" t="s">
        <v>123</v>
      </c>
      <c r="H13" s="49" t="s">
        <v>123</v>
      </c>
      <c r="I13" s="49" t="s">
        <v>123</v>
      </c>
      <c r="J13" s="49" t="s">
        <v>123</v>
      </c>
      <c r="K13" s="49" t="s">
        <v>123</v>
      </c>
      <c r="L13" s="49" t="s">
        <v>123</v>
      </c>
      <c r="M13" s="49" t="s">
        <v>123</v>
      </c>
      <c r="N13" s="49" t="s">
        <v>123</v>
      </c>
      <c r="O13" s="49">
        <v>-3965</v>
      </c>
      <c r="P13" s="49">
        <v>28307</v>
      </c>
      <c r="Q13" s="49">
        <v>32975</v>
      </c>
      <c r="R13" s="49">
        <v>4856</v>
      </c>
      <c r="S13" s="49">
        <v>-2078</v>
      </c>
      <c r="T13" s="49">
        <v>27451</v>
      </c>
      <c r="U13" s="49">
        <f>U14+U15</f>
        <v>23011</v>
      </c>
      <c r="V13" s="49">
        <v>10027</v>
      </c>
      <c r="W13" s="49">
        <f>SUM(W14:W15)</f>
        <v>2023</v>
      </c>
      <c r="X13" s="49">
        <f>SUM(X14:X15)</f>
        <v>-91077</v>
      </c>
      <c r="Y13" s="49">
        <v>-18590</v>
      </c>
      <c r="Z13" s="49">
        <f>SUM(Z14:Z15)</f>
        <v>40034</v>
      </c>
      <c r="AA13" s="49">
        <f>SUM(AA14:AA15)</f>
        <v>97755</v>
      </c>
      <c r="AB13" s="89"/>
      <c r="AC13" s="89"/>
      <c r="AD13" s="8"/>
    </row>
    <row r="14" spans="1:30" s="7" customFormat="1" ht="10.8" thickBot="1">
      <c r="A14" s="6" t="s">
        <v>297</v>
      </c>
      <c r="B14" s="50" t="s">
        <v>130</v>
      </c>
      <c r="C14" s="51" t="s">
        <v>123</v>
      </c>
      <c r="D14" s="51" t="s">
        <v>123</v>
      </c>
      <c r="E14" s="51" t="s">
        <v>123</v>
      </c>
      <c r="F14" s="51" t="s">
        <v>123</v>
      </c>
      <c r="G14" s="51" t="s">
        <v>123</v>
      </c>
      <c r="H14" s="51" t="s">
        <v>123</v>
      </c>
      <c r="I14" s="51" t="s">
        <v>123</v>
      </c>
      <c r="J14" s="51" t="s">
        <v>123</v>
      </c>
      <c r="K14" s="51" t="s">
        <v>123</v>
      </c>
      <c r="L14" s="51" t="s">
        <v>123</v>
      </c>
      <c r="M14" s="51" t="s">
        <v>123</v>
      </c>
      <c r="N14" s="51" t="s">
        <v>123</v>
      </c>
      <c r="O14" s="51">
        <v>6413</v>
      </c>
      <c r="P14" s="51">
        <v>-445</v>
      </c>
      <c r="Q14" s="51">
        <v>38129</v>
      </c>
      <c r="R14" s="51">
        <v>39410</v>
      </c>
      <c r="S14" s="51">
        <v>2967</v>
      </c>
      <c r="T14" s="51">
        <v>21392</v>
      </c>
      <c r="U14" s="51">
        <v>18343</v>
      </c>
      <c r="V14" s="51">
        <v>28042</v>
      </c>
      <c r="W14" s="51">
        <v>14009</v>
      </c>
      <c r="X14" s="51">
        <v>-10527</v>
      </c>
      <c r="Y14" s="51">
        <v>-12834</v>
      </c>
      <c r="Z14" s="51">
        <v>28669</v>
      </c>
      <c r="AA14" s="51">
        <v>64779</v>
      </c>
      <c r="AB14" s="89"/>
      <c r="AC14" s="89"/>
      <c r="AD14" s="8"/>
    </row>
    <row r="15" spans="1:30" s="7" customFormat="1" ht="10.8" thickBot="1">
      <c r="A15" s="6" t="s">
        <v>300</v>
      </c>
      <c r="B15" s="50" t="s">
        <v>131</v>
      </c>
      <c r="C15" s="51" t="s">
        <v>123</v>
      </c>
      <c r="D15" s="51" t="s">
        <v>123</v>
      </c>
      <c r="E15" s="51" t="s">
        <v>123</v>
      </c>
      <c r="F15" s="51" t="s">
        <v>123</v>
      </c>
      <c r="G15" s="51" t="s">
        <v>123</v>
      </c>
      <c r="H15" s="51" t="s">
        <v>123</v>
      </c>
      <c r="I15" s="51" t="s">
        <v>123</v>
      </c>
      <c r="J15" s="51" t="s">
        <v>123</v>
      </c>
      <c r="K15" s="51" t="s">
        <v>123</v>
      </c>
      <c r="L15" s="51" t="s">
        <v>123</v>
      </c>
      <c r="M15" s="51" t="s">
        <v>123</v>
      </c>
      <c r="N15" s="51" t="s">
        <v>123</v>
      </c>
      <c r="O15" s="51">
        <v>-10378</v>
      </c>
      <c r="P15" s="51">
        <v>28752</v>
      </c>
      <c r="Q15" s="51">
        <v>-5154</v>
      </c>
      <c r="R15" s="51">
        <v>-34554</v>
      </c>
      <c r="S15" s="51">
        <v>-5045</v>
      </c>
      <c r="T15" s="51">
        <v>6059</v>
      </c>
      <c r="U15" s="51">
        <v>4668</v>
      </c>
      <c r="V15" s="51">
        <v>-18015</v>
      </c>
      <c r="W15" s="51">
        <v>-11986</v>
      </c>
      <c r="X15" s="51">
        <v>-80550</v>
      </c>
      <c r="Y15" s="51">
        <v>-5756</v>
      </c>
      <c r="Z15" s="51">
        <v>11365</v>
      </c>
      <c r="AA15" s="51">
        <v>32976</v>
      </c>
      <c r="AB15" s="89"/>
      <c r="AC15" s="89"/>
      <c r="AD15" s="8"/>
    </row>
    <row r="16" spans="1:30" s="7" customFormat="1" ht="10.8" thickBot="1">
      <c r="A16" s="6" t="s">
        <v>301</v>
      </c>
      <c r="B16" s="48" t="s">
        <v>132</v>
      </c>
      <c r="C16" s="49" t="s">
        <v>123</v>
      </c>
      <c r="D16" s="49" t="s">
        <v>123</v>
      </c>
      <c r="E16" s="49" t="s">
        <v>123</v>
      </c>
      <c r="F16" s="49" t="s">
        <v>123</v>
      </c>
      <c r="G16" s="49" t="s">
        <v>123</v>
      </c>
      <c r="H16" s="49" t="s">
        <v>123</v>
      </c>
      <c r="I16" s="49" t="s">
        <v>123</v>
      </c>
      <c r="J16" s="49" t="s">
        <v>123</v>
      </c>
      <c r="K16" s="49" t="s">
        <v>123</v>
      </c>
      <c r="L16" s="49" t="s">
        <v>123</v>
      </c>
      <c r="M16" s="49" t="s">
        <v>123</v>
      </c>
      <c r="N16" s="49" t="s">
        <v>123</v>
      </c>
      <c r="O16" s="49">
        <v>24286</v>
      </c>
      <c r="P16" s="49">
        <v>2620</v>
      </c>
      <c r="Q16" s="49">
        <v>6291</v>
      </c>
      <c r="R16" s="49">
        <v>27644</v>
      </c>
      <c r="S16" s="49">
        <v>32003</v>
      </c>
      <c r="T16" s="49">
        <v>-27389</v>
      </c>
      <c r="U16" s="49">
        <f>U17+U18</f>
        <v>6439</v>
      </c>
      <c r="V16" s="49">
        <v>6626</v>
      </c>
      <c r="W16" s="49">
        <f>SUM(W17:W18)</f>
        <v>-15727</v>
      </c>
      <c r="X16" s="49">
        <f>SUM(X17:X18)</f>
        <v>16165</v>
      </c>
      <c r="Y16" s="49">
        <v>-35569</v>
      </c>
      <c r="Z16" s="49">
        <f>SUM(Z17:Z18)</f>
        <v>11080</v>
      </c>
      <c r="AA16" s="49">
        <f>SUM(AA17:AA18)</f>
        <v>32236</v>
      </c>
      <c r="AB16" s="89"/>
      <c r="AC16" s="89"/>
      <c r="AD16" s="8"/>
    </row>
    <row r="17" spans="1:30" s="7" customFormat="1" ht="10.8" thickBot="1">
      <c r="A17" s="6" t="s">
        <v>297</v>
      </c>
      <c r="B17" s="50" t="s">
        <v>130</v>
      </c>
      <c r="C17" s="51" t="s">
        <v>123</v>
      </c>
      <c r="D17" s="51" t="s">
        <v>123</v>
      </c>
      <c r="E17" s="51" t="s">
        <v>123</v>
      </c>
      <c r="F17" s="51" t="s">
        <v>123</v>
      </c>
      <c r="G17" s="51" t="s">
        <v>123</v>
      </c>
      <c r="H17" s="51" t="s">
        <v>123</v>
      </c>
      <c r="I17" s="51" t="s">
        <v>123</v>
      </c>
      <c r="J17" s="51" t="s">
        <v>123</v>
      </c>
      <c r="K17" s="51" t="s">
        <v>123</v>
      </c>
      <c r="L17" s="51" t="s">
        <v>123</v>
      </c>
      <c r="M17" s="51" t="s">
        <v>123</v>
      </c>
      <c r="N17" s="51" t="s">
        <v>123</v>
      </c>
      <c r="O17" s="51">
        <v>7806</v>
      </c>
      <c r="P17" s="51">
        <v>881</v>
      </c>
      <c r="Q17" s="51">
        <v>-7947</v>
      </c>
      <c r="R17" s="51">
        <v>27962</v>
      </c>
      <c r="S17" s="51">
        <v>25333</v>
      </c>
      <c r="T17" s="51">
        <v>-11388</v>
      </c>
      <c r="U17" s="51">
        <v>2920</v>
      </c>
      <c r="V17" s="51">
        <v>-19717</v>
      </c>
      <c r="W17" s="51">
        <v>-10858</v>
      </c>
      <c r="X17" s="51">
        <v>-23908</v>
      </c>
      <c r="Y17" s="51">
        <v>-25763</v>
      </c>
      <c r="Z17" s="51">
        <v>1992</v>
      </c>
      <c r="AA17" s="51">
        <v>30729</v>
      </c>
      <c r="AB17" s="89"/>
      <c r="AC17" s="89"/>
      <c r="AD17" s="8"/>
    </row>
    <row r="18" spans="1:30" s="7" customFormat="1" ht="10.8" thickBot="1">
      <c r="A18" s="6" t="s">
        <v>300</v>
      </c>
      <c r="B18" s="50" t="s">
        <v>131</v>
      </c>
      <c r="C18" s="51" t="s">
        <v>123</v>
      </c>
      <c r="D18" s="51" t="s">
        <v>123</v>
      </c>
      <c r="E18" s="51" t="s">
        <v>123</v>
      </c>
      <c r="F18" s="51" t="s">
        <v>123</v>
      </c>
      <c r="G18" s="51" t="s">
        <v>123</v>
      </c>
      <c r="H18" s="51" t="s">
        <v>123</v>
      </c>
      <c r="I18" s="51" t="s">
        <v>123</v>
      </c>
      <c r="J18" s="51" t="s">
        <v>123</v>
      </c>
      <c r="K18" s="51" t="s">
        <v>123</v>
      </c>
      <c r="L18" s="51" t="s">
        <v>123</v>
      </c>
      <c r="M18" s="51" t="s">
        <v>123</v>
      </c>
      <c r="N18" s="51" t="s">
        <v>123</v>
      </c>
      <c r="O18" s="51">
        <v>16480</v>
      </c>
      <c r="P18" s="51">
        <v>1739</v>
      </c>
      <c r="Q18" s="51">
        <v>14238</v>
      </c>
      <c r="R18" s="51">
        <v>-318</v>
      </c>
      <c r="S18" s="51">
        <v>6670</v>
      </c>
      <c r="T18" s="51">
        <v>-16001</v>
      </c>
      <c r="U18" s="51">
        <v>3519</v>
      </c>
      <c r="V18" s="51">
        <v>26343</v>
      </c>
      <c r="W18" s="51">
        <v>-4869</v>
      </c>
      <c r="X18" s="51">
        <v>40073</v>
      </c>
      <c r="Y18" s="51">
        <v>-9806</v>
      </c>
      <c r="Z18" s="51">
        <v>9088</v>
      </c>
      <c r="AA18" s="51">
        <v>1507</v>
      </c>
      <c r="AB18" s="89"/>
      <c r="AC18" s="89"/>
      <c r="AD18" s="8"/>
    </row>
    <row r="19" spans="1:30" s="7" customFormat="1" ht="10.8" thickBot="1">
      <c r="A19" s="6" t="s">
        <v>133</v>
      </c>
      <c r="B19" s="52" t="s">
        <v>133</v>
      </c>
      <c r="C19" s="49" t="s">
        <v>123</v>
      </c>
      <c r="D19" s="49" t="s">
        <v>123</v>
      </c>
      <c r="E19" s="49" t="s">
        <v>123</v>
      </c>
      <c r="F19" s="49" t="s">
        <v>123</v>
      </c>
      <c r="G19" s="49" t="s">
        <v>123</v>
      </c>
      <c r="H19" s="49" t="s">
        <v>123</v>
      </c>
      <c r="I19" s="49" t="s">
        <v>123</v>
      </c>
      <c r="J19" s="49" t="s">
        <v>123</v>
      </c>
      <c r="K19" s="49" t="s">
        <v>123</v>
      </c>
      <c r="L19" s="49" t="s">
        <v>123</v>
      </c>
      <c r="M19" s="49" t="s">
        <v>123</v>
      </c>
      <c r="N19" s="49" t="s">
        <v>123</v>
      </c>
      <c r="O19" s="49">
        <v>-9834</v>
      </c>
      <c r="P19" s="49">
        <v>-15957</v>
      </c>
      <c r="Q19" s="49">
        <v>-17721</v>
      </c>
      <c r="R19" s="49">
        <v>-12247</v>
      </c>
      <c r="S19" s="49">
        <v>-17598</v>
      </c>
      <c r="T19" s="49">
        <v>-10122</v>
      </c>
      <c r="U19" s="49">
        <v>-19712</v>
      </c>
      <c r="V19" s="49">
        <v>-8950</v>
      </c>
      <c r="W19" s="49">
        <v>-6287</v>
      </c>
      <c r="X19" s="49">
        <v>-5477</v>
      </c>
      <c r="Y19" s="49">
        <v>-7455</v>
      </c>
      <c r="Z19" s="49">
        <v>1387</v>
      </c>
      <c r="AA19" s="49">
        <v>3205</v>
      </c>
      <c r="AB19" s="89"/>
      <c r="AC19" s="89"/>
      <c r="AD19" s="8"/>
    </row>
    <row r="20" spans="1:30" s="7" customFormat="1" ht="10.8" thickBot="1">
      <c r="A20" s="6" t="s">
        <v>303</v>
      </c>
      <c r="B20" s="52" t="s">
        <v>134</v>
      </c>
      <c r="C20" s="49" t="s">
        <v>123</v>
      </c>
      <c r="D20" s="49" t="s">
        <v>123</v>
      </c>
      <c r="E20" s="49" t="s">
        <v>123</v>
      </c>
      <c r="F20" s="49" t="s">
        <v>123</v>
      </c>
      <c r="G20" s="49" t="s">
        <v>123</v>
      </c>
      <c r="H20" s="49" t="s">
        <v>123</v>
      </c>
      <c r="I20" s="49" t="s">
        <v>123</v>
      </c>
      <c r="J20" s="49" t="s">
        <v>123</v>
      </c>
      <c r="K20" s="49" t="s">
        <v>123</v>
      </c>
      <c r="L20" s="49" t="s">
        <v>123</v>
      </c>
      <c r="M20" s="49" t="s">
        <v>123</v>
      </c>
      <c r="N20" s="49">
        <v>14687</v>
      </c>
      <c r="O20" s="49">
        <v>13538</v>
      </c>
      <c r="P20" s="49">
        <v>15960</v>
      </c>
      <c r="Q20" s="49">
        <v>14455</v>
      </c>
      <c r="R20" s="49">
        <v>17297</v>
      </c>
      <c r="S20" s="49">
        <v>15154</v>
      </c>
      <c r="T20" s="49">
        <v>10270</v>
      </c>
      <c r="U20" s="49">
        <v>22458</v>
      </c>
      <c r="V20" s="49">
        <v>13020</v>
      </c>
      <c r="W20" s="49">
        <v>11690</v>
      </c>
      <c r="X20" s="49">
        <v>13272</v>
      </c>
      <c r="Y20" s="49">
        <v>10170</v>
      </c>
      <c r="Z20" s="49">
        <v>20529</v>
      </c>
      <c r="AA20" s="49">
        <v>19706</v>
      </c>
      <c r="AB20" s="89"/>
      <c r="AC20" s="89"/>
      <c r="AD20" s="8"/>
    </row>
    <row r="21" spans="1:30" s="7" customFormat="1" ht="10.8" thickBot="1">
      <c r="A21" s="6" t="s">
        <v>304</v>
      </c>
      <c r="B21" s="52" t="s">
        <v>135</v>
      </c>
      <c r="C21" s="53">
        <v>-741</v>
      </c>
      <c r="D21" s="53">
        <v>1702</v>
      </c>
      <c r="E21" s="53">
        <v>-1452</v>
      </c>
      <c r="F21" s="53">
        <v>-69</v>
      </c>
      <c r="G21" s="53">
        <v>-4843</v>
      </c>
      <c r="H21" s="53">
        <v>3457</v>
      </c>
      <c r="I21" s="53">
        <v>-650</v>
      </c>
      <c r="J21" s="53">
        <v>-346</v>
      </c>
      <c r="K21" s="53">
        <v>1087</v>
      </c>
      <c r="L21" s="53">
        <v>-7719</v>
      </c>
      <c r="M21" s="53">
        <v>-4947</v>
      </c>
      <c r="N21" s="53">
        <v>5272</v>
      </c>
      <c r="O21" s="53">
        <v>22355</v>
      </c>
      <c r="P21" s="53">
        <v>-15379</v>
      </c>
      <c r="Q21" s="53">
        <v>-6599</v>
      </c>
      <c r="R21" s="53">
        <v>70571</v>
      </c>
      <c r="S21" s="53">
        <v>4904</v>
      </c>
      <c r="T21" s="53">
        <v>5592</v>
      </c>
      <c r="U21" s="53">
        <v>-1225</v>
      </c>
      <c r="V21" s="53">
        <v>-2485</v>
      </c>
      <c r="W21" s="53">
        <v>-21276</v>
      </c>
      <c r="X21" s="53">
        <v>-111905</v>
      </c>
      <c r="Y21" s="53">
        <v>5282</v>
      </c>
      <c r="Z21" s="49">
        <v>23959</v>
      </c>
      <c r="AA21" s="49">
        <v>-970</v>
      </c>
      <c r="AB21" s="89"/>
      <c r="AC21" s="89"/>
      <c r="AD21" s="8"/>
    </row>
    <row r="22" spans="1:30" s="7" customFormat="1" ht="19.8" thickBot="1">
      <c r="A22" s="6" t="s">
        <v>305</v>
      </c>
      <c r="B22" s="52" t="s">
        <v>136</v>
      </c>
      <c r="C22" s="53">
        <v>-2201</v>
      </c>
      <c r="D22" s="53">
        <v>-5931</v>
      </c>
      <c r="E22" s="53">
        <v>470</v>
      </c>
      <c r="F22" s="53">
        <v>-4706</v>
      </c>
      <c r="G22" s="53">
        <v>-3452</v>
      </c>
      <c r="H22" s="53">
        <v>-8790</v>
      </c>
      <c r="I22" s="53">
        <v>-2369</v>
      </c>
      <c r="J22" s="53">
        <v>-8104</v>
      </c>
      <c r="K22" s="53">
        <v>-3621</v>
      </c>
      <c r="L22" s="53">
        <v>-7366</v>
      </c>
      <c r="M22" s="53">
        <v>-4606</v>
      </c>
      <c r="N22" s="53">
        <v>-10128</v>
      </c>
      <c r="O22" s="53">
        <v>-1756</v>
      </c>
      <c r="P22" s="53">
        <v>-477</v>
      </c>
      <c r="Q22" s="53">
        <v>-932</v>
      </c>
      <c r="R22" s="53">
        <v>-2985</v>
      </c>
      <c r="S22" s="53">
        <v>-1569</v>
      </c>
      <c r="T22" s="53">
        <v>-105</v>
      </c>
      <c r="U22" s="53">
        <v>-7</v>
      </c>
      <c r="V22" s="53">
        <v>-4190</v>
      </c>
      <c r="W22" s="53">
        <v>1307</v>
      </c>
      <c r="X22" s="53">
        <v>-69897</v>
      </c>
      <c r="Y22" s="53">
        <v>-1803</v>
      </c>
      <c r="Z22" s="49">
        <v>-62429</v>
      </c>
      <c r="AA22" s="49">
        <v>-502</v>
      </c>
      <c r="AB22" s="89"/>
      <c r="AC22" s="89"/>
      <c r="AD22" s="8"/>
    </row>
    <row r="23" spans="1:30" s="7" customFormat="1" ht="10.8" thickBot="1">
      <c r="A23" s="6" t="s">
        <v>306</v>
      </c>
      <c r="B23" s="52" t="s">
        <v>44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49">
        <v>0</v>
      </c>
      <c r="K23" s="53">
        <v>0</v>
      </c>
      <c r="L23" s="49">
        <v>0</v>
      </c>
      <c r="M23" s="53">
        <v>0</v>
      </c>
      <c r="N23" s="49">
        <v>0</v>
      </c>
      <c r="O23" s="53">
        <v>0</v>
      </c>
      <c r="P23" s="49">
        <v>0</v>
      </c>
      <c r="Q23" s="53">
        <v>-101</v>
      </c>
      <c r="R23" s="49">
        <v>0</v>
      </c>
      <c r="S23" s="53">
        <v>-75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1</v>
      </c>
      <c r="Z23" s="49">
        <v>-1</v>
      </c>
      <c r="AA23" s="49">
        <v>25</v>
      </c>
      <c r="AB23" s="89"/>
      <c r="AC23" s="89"/>
      <c r="AD23" s="8"/>
    </row>
    <row r="24" spans="1:30" s="7" customFormat="1" ht="19.8" thickBot="1">
      <c r="A24" s="6" t="s">
        <v>307</v>
      </c>
      <c r="B24" s="46" t="s">
        <v>29</v>
      </c>
      <c r="C24" s="47">
        <v>-144656</v>
      </c>
      <c r="D24" s="47">
        <v>-159483</v>
      </c>
      <c r="E24" s="47">
        <v>-173087</v>
      </c>
      <c r="F24" s="47">
        <v>-194887</v>
      </c>
      <c r="G24" s="47">
        <v>-175745</v>
      </c>
      <c r="H24" s="47">
        <v>-173112</v>
      </c>
      <c r="I24" s="47">
        <v>-199006</v>
      </c>
      <c r="J24" s="47">
        <v>-252024</v>
      </c>
      <c r="K24" s="47">
        <v>-211616</v>
      </c>
      <c r="L24" s="47">
        <v>-256083</v>
      </c>
      <c r="M24" s="47">
        <v>-211959</v>
      </c>
      <c r="N24" s="47">
        <v>-235272</v>
      </c>
      <c r="O24" s="47">
        <v>-244748</v>
      </c>
      <c r="P24" s="47">
        <v>-238075</v>
      </c>
      <c r="Q24" s="47">
        <v>-273190</v>
      </c>
      <c r="R24" s="47">
        <v>-298056</v>
      </c>
      <c r="S24" s="47">
        <v>-274606</v>
      </c>
      <c r="T24" s="47">
        <v>-502645</v>
      </c>
      <c r="U24" s="47">
        <f>U3+U8+U12+U19+U20+U21+U22</f>
        <v>-324788</v>
      </c>
      <c r="V24" s="47">
        <v>-341065</v>
      </c>
      <c r="W24" s="47">
        <f>W3+W8+W12+W19+W20+W21+W22+W23</f>
        <v>-294846</v>
      </c>
      <c r="X24" s="47">
        <f>X3+X8+X12+X19+X20+X21+X22+X23</f>
        <v>-985043</v>
      </c>
      <c r="Y24" s="47">
        <f>Y3+Y8+Y12+Y19+Y20+Y21+Y22+Y23</f>
        <v>-291145</v>
      </c>
      <c r="Z24" s="47">
        <f>Z3+Z8+Z12+Z19+Z20+Z21+Z22+Z23</f>
        <v>-295259</v>
      </c>
      <c r="AA24" s="47">
        <f>AA3+AA8+AA12+AA19+AA20+AA21+AA22+AA23</f>
        <v>-243962</v>
      </c>
      <c r="AB24" s="89"/>
      <c r="AC24" s="89"/>
      <c r="AD24" s="8"/>
    </row>
    <row r="25" spans="1:30">
      <c r="AA25" s="8"/>
      <c r="AB25" s="89"/>
      <c r="AC25" s="89"/>
      <c r="AD25" s="8"/>
    </row>
    <row r="26" spans="1:30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8"/>
      <c r="AB26" s="89"/>
      <c r="AC26" s="89"/>
      <c r="AD26" s="7"/>
    </row>
    <row r="27" spans="1:30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AA27" s="8"/>
      <c r="AB27" s="89"/>
      <c r="AC27" s="89"/>
      <c r="AD27" s="8"/>
    </row>
    <row r="28" spans="1:30">
      <c r="AA28" s="8"/>
      <c r="AB28" s="89"/>
      <c r="AC28" s="89"/>
      <c r="AD28" s="7"/>
    </row>
    <row r="29" spans="1:30">
      <c r="AA29" s="8"/>
      <c r="AB29" s="89"/>
      <c r="AC29" s="89"/>
      <c r="AD29" s="8"/>
    </row>
    <row r="30" spans="1:30">
      <c r="AA30" s="8"/>
    </row>
    <row r="31" spans="1:30">
      <c r="AA31" s="8"/>
    </row>
    <row r="32" spans="1:30">
      <c r="AA32" s="8"/>
    </row>
    <row r="33" spans="27:27">
      <c r="AA33" s="8"/>
    </row>
    <row r="34" spans="27:27">
      <c r="AA34" s="8"/>
    </row>
    <row r="35" spans="27:27">
      <c r="AA35" s="8"/>
    </row>
    <row r="36" spans="27:27">
      <c r="AA36" s="8"/>
    </row>
    <row r="37" spans="27:27">
      <c r="AA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A19"/>
  <sheetViews>
    <sheetView zoomScale="90" zoomScaleNormal="90" workbookViewId="0">
      <pane xSplit="2" ySplit="2" topLeftCell="Y3" activePane="bottomRight" state="frozen"/>
      <selection pane="topRight" activeCell="C1" sqref="C1"/>
      <selection pane="bottomLeft" activeCell="A3" sqref="A3"/>
      <selection pane="bottomRight"/>
    </sheetView>
  </sheetViews>
  <sheetFormatPr defaultRowHeight="10.199999999999999"/>
  <cols>
    <col min="1" max="1" width="34.85546875" customWidth="1"/>
    <col min="2" max="2" width="31.85546875" bestFit="1" customWidth="1"/>
    <col min="3" max="24" width="8.85546875" bestFit="1" customWidth="1"/>
    <col min="25" max="27" width="22.42578125" customWidth="1"/>
  </cols>
  <sheetData>
    <row r="1" spans="1:27" ht="10.8" thickBo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s="6" customFormat="1" ht="20.25" customHeight="1" thickBot="1">
      <c r="A2" s="6" t="s">
        <v>345</v>
      </c>
      <c r="B2" s="5" t="s">
        <v>179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</row>
    <row r="3" spans="1:27" s="6" customFormat="1" ht="9.6">
      <c r="A3" s="6" t="s">
        <v>336</v>
      </c>
      <c r="B3" s="61" t="s">
        <v>164</v>
      </c>
      <c r="C3" s="62">
        <f t="shared" ref="C3:P3" si="0">SUM(C4:C6)</f>
        <v>15726981</v>
      </c>
      <c r="D3" s="62">
        <f t="shared" si="0"/>
        <v>16048478</v>
      </c>
      <c r="E3" s="62">
        <f t="shared" si="0"/>
        <v>16781333</v>
      </c>
      <c r="F3" s="62">
        <f t="shared" si="0"/>
        <v>17595314</v>
      </c>
      <c r="G3" s="62">
        <f t="shared" si="0"/>
        <v>18543906</v>
      </c>
      <c r="H3" s="62">
        <f t="shared" si="0"/>
        <v>19383787</v>
      </c>
      <c r="I3" s="62">
        <f t="shared" si="0"/>
        <v>20063410</v>
      </c>
      <c r="J3" s="62">
        <f t="shared" si="0"/>
        <v>25889424</v>
      </c>
      <c r="K3" s="62">
        <f t="shared" si="0"/>
        <v>26428371</v>
      </c>
      <c r="L3" s="62">
        <f t="shared" si="0"/>
        <v>26953659</v>
      </c>
      <c r="M3" s="62">
        <f t="shared" si="0"/>
        <v>27499084</v>
      </c>
      <c r="N3" s="62">
        <f t="shared" si="0"/>
        <v>28234726</v>
      </c>
      <c r="O3" s="62">
        <f t="shared" si="0"/>
        <v>27939667</v>
      </c>
      <c r="P3" s="62">
        <f t="shared" si="0"/>
        <v>28363076</v>
      </c>
      <c r="Q3" s="62">
        <f>SUM(Q4:Q6)</f>
        <v>28748628</v>
      </c>
      <c r="R3" s="62">
        <f t="shared" ref="R3:Z3" si="1">SUM(R4:R6)</f>
        <v>29422330</v>
      </c>
      <c r="S3" s="62">
        <f t="shared" si="1"/>
        <v>29853587</v>
      </c>
      <c r="T3" s="62">
        <f t="shared" si="1"/>
        <v>30392971</v>
      </c>
      <c r="U3" s="62">
        <f t="shared" si="1"/>
        <v>31020621</v>
      </c>
      <c r="V3" s="62">
        <f t="shared" si="1"/>
        <v>31842555</v>
      </c>
      <c r="W3" s="62">
        <f t="shared" si="1"/>
        <v>32346252</v>
      </c>
      <c r="X3" s="62">
        <f t="shared" si="1"/>
        <v>32451823</v>
      </c>
      <c r="Y3" s="62">
        <f t="shared" si="1"/>
        <v>33288397</v>
      </c>
      <c r="Z3" s="95">
        <f t="shared" si="1"/>
        <v>33893617</v>
      </c>
      <c r="AA3" s="95">
        <f t="shared" ref="AA3" si="2">SUM(AA4:AA6)</f>
        <v>34202932</v>
      </c>
    </row>
    <row r="4" spans="1:27" s="6" customFormat="1" ht="9.6">
      <c r="A4" s="6" t="s">
        <v>337</v>
      </c>
      <c r="B4" s="63" t="s">
        <v>165</v>
      </c>
      <c r="C4" s="64">
        <v>9653155</v>
      </c>
      <c r="D4" s="64">
        <v>9643537</v>
      </c>
      <c r="E4" s="64">
        <v>9898089</v>
      </c>
      <c r="F4" s="64">
        <v>10128455</v>
      </c>
      <c r="G4" s="64">
        <v>10563049</v>
      </c>
      <c r="H4" s="64">
        <v>10793093</v>
      </c>
      <c r="I4" s="64">
        <v>11039032</v>
      </c>
      <c r="J4" s="64">
        <v>16225031</v>
      </c>
      <c r="K4" s="64">
        <v>16309831</v>
      </c>
      <c r="L4" s="64">
        <v>16377187</v>
      </c>
      <c r="M4" s="64">
        <v>16500527</v>
      </c>
      <c r="N4" s="64">
        <v>16541861</v>
      </c>
      <c r="O4" s="64">
        <f>16077970-164202</f>
        <v>15913768</v>
      </c>
      <c r="P4" s="64">
        <f>16237883-167407</f>
        <v>16070476</v>
      </c>
      <c r="Q4" s="64">
        <f>16400051-165150</f>
        <v>16234901</v>
      </c>
      <c r="R4" s="64">
        <v>16528475</v>
      </c>
      <c r="S4" s="64">
        <v>16889153</v>
      </c>
      <c r="T4" s="64">
        <v>17356422</v>
      </c>
      <c r="U4" s="64">
        <v>17643177</v>
      </c>
      <c r="V4" s="64">
        <v>17819615</v>
      </c>
      <c r="W4" s="64">
        <v>17797520</v>
      </c>
      <c r="X4" s="64">
        <v>17487951</v>
      </c>
      <c r="Y4" s="64">
        <v>17371369</v>
      </c>
      <c r="Z4" s="96">
        <v>16827834</v>
      </c>
      <c r="AA4" s="96">
        <v>16604568</v>
      </c>
    </row>
    <row r="5" spans="1:27" s="6" customFormat="1" ht="19.2">
      <c r="A5" s="6" t="s">
        <v>338</v>
      </c>
      <c r="B5" s="63" t="s">
        <v>166</v>
      </c>
      <c r="C5" s="64">
        <v>5396225</v>
      </c>
      <c r="D5" s="64">
        <v>5777712</v>
      </c>
      <c r="E5" s="64">
        <v>6243418</v>
      </c>
      <c r="F5" s="64">
        <v>6717911</v>
      </c>
      <c r="G5" s="64">
        <v>7115750</v>
      </c>
      <c r="H5" s="64">
        <v>7631468</v>
      </c>
      <c r="I5" s="64">
        <v>7939174</v>
      </c>
      <c r="J5" s="64">
        <v>8407632</v>
      </c>
      <c r="K5" s="64">
        <v>8729547</v>
      </c>
      <c r="L5" s="64">
        <v>9116799</v>
      </c>
      <c r="M5" s="64">
        <v>9385986</v>
      </c>
      <c r="N5" s="64">
        <v>9547786</v>
      </c>
      <c r="O5" s="64">
        <v>9745651</v>
      </c>
      <c r="P5" s="64">
        <v>9998610</v>
      </c>
      <c r="Q5" s="64">
        <v>10157045</v>
      </c>
      <c r="R5" s="64">
        <f>10352136-21166</f>
        <v>10330970</v>
      </c>
      <c r="S5" s="64">
        <v>10532079</v>
      </c>
      <c r="T5" s="64">
        <v>10732556</v>
      </c>
      <c r="U5" s="64">
        <v>11037250</v>
      </c>
      <c r="V5" s="64">
        <v>11244540</v>
      </c>
      <c r="W5" s="64">
        <v>11613403</v>
      </c>
      <c r="X5" s="64">
        <v>11909986</v>
      </c>
      <c r="Y5" s="64">
        <v>12581336</v>
      </c>
      <c r="Z5" s="96">
        <v>13214132</v>
      </c>
      <c r="AA5" s="96">
        <v>13741275</v>
      </c>
    </row>
    <row r="6" spans="1:27" s="6" customFormat="1" ht="9.6">
      <c r="A6" s="6" t="s">
        <v>339</v>
      </c>
      <c r="B6" s="63" t="s">
        <v>167</v>
      </c>
      <c r="C6" s="64">
        <v>677601</v>
      </c>
      <c r="D6" s="64">
        <v>627229</v>
      </c>
      <c r="E6" s="64">
        <v>639826</v>
      </c>
      <c r="F6" s="64">
        <v>748948</v>
      </c>
      <c r="G6" s="64">
        <v>865107</v>
      </c>
      <c r="H6" s="64">
        <v>959226</v>
      </c>
      <c r="I6" s="64">
        <v>1085204</v>
      </c>
      <c r="J6" s="64">
        <v>1256761</v>
      </c>
      <c r="K6" s="64">
        <v>1388993</v>
      </c>
      <c r="L6" s="64">
        <v>1459673</v>
      </c>
      <c r="M6" s="64">
        <v>1612571</v>
      </c>
      <c r="N6" s="64">
        <v>2145079</v>
      </c>
      <c r="O6" s="64">
        <v>2280248</v>
      </c>
      <c r="P6" s="64">
        <v>2293990</v>
      </c>
      <c r="Q6" s="64">
        <v>2356682</v>
      </c>
      <c r="R6" s="64">
        <v>2562885</v>
      </c>
      <c r="S6" s="64">
        <v>2432355</v>
      </c>
      <c r="T6" s="64">
        <v>2303993</v>
      </c>
      <c r="U6" s="64">
        <v>2340194</v>
      </c>
      <c r="V6" s="64">
        <v>2778400</v>
      </c>
      <c r="W6" s="64">
        <v>2935329</v>
      </c>
      <c r="X6" s="64">
        <v>3053886</v>
      </c>
      <c r="Y6" s="64">
        <v>3335692</v>
      </c>
      <c r="Z6" s="96">
        <v>3851651</v>
      </c>
      <c r="AA6" s="96">
        <v>3857089</v>
      </c>
    </row>
    <row r="7" spans="1:27" s="6" customFormat="1" ht="9.6">
      <c r="A7" s="6" t="s">
        <v>340</v>
      </c>
      <c r="B7" s="61" t="s">
        <v>168</v>
      </c>
      <c r="C7" s="62">
        <f t="shared" ref="C7:P7" si="3">SUM(C8:C10)</f>
        <v>11683690</v>
      </c>
      <c r="D7" s="62">
        <f t="shared" si="3"/>
        <v>12296174</v>
      </c>
      <c r="E7" s="62">
        <f t="shared" si="3"/>
        <v>12607708</v>
      </c>
      <c r="F7" s="62">
        <f t="shared" si="3"/>
        <v>13311743</v>
      </c>
      <c r="G7" s="62">
        <f t="shared" si="3"/>
        <v>14194127</v>
      </c>
      <c r="H7" s="62">
        <f t="shared" si="3"/>
        <v>14752632</v>
      </c>
      <c r="I7" s="62">
        <f t="shared" si="3"/>
        <v>15025481</v>
      </c>
      <c r="J7" s="62">
        <f t="shared" si="3"/>
        <v>20357764</v>
      </c>
      <c r="K7" s="62">
        <f t="shared" si="3"/>
        <v>21974572</v>
      </c>
      <c r="L7" s="62">
        <f t="shared" si="3"/>
        <v>22125695</v>
      </c>
      <c r="M7" s="62">
        <f t="shared" si="3"/>
        <v>22600443</v>
      </c>
      <c r="N7" s="62">
        <f t="shared" si="3"/>
        <v>23031914</v>
      </c>
      <c r="O7" s="62">
        <f t="shared" si="3"/>
        <v>23386334</v>
      </c>
      <c r="P7" s="62">
        <f t="shared" si="3"/>
        <v>24070670</v>
      </c>
      <c r="Q7" s="62">
        <f>SUM(Q8:Q10)</f>
        <v>24512024</v>
      </c>
      <c r="R7" s="62">
        <f t="shared" ref="R7:Z7" si="4">SUM(R8:R10)</f>
        <v>24802516</v>
      </c>
      <c r="S7" s="62">
        <f t="shared" si="4"/>
        <v>25540177</v>
      </c>
      <c r="T7" s="62">
        <f t="shared" si="4"/>
        <v>26271343</v>
      </c>
      <c r="U7" s="62">
        <f t="shared" si="4"/>
        <v>25663863</v>
      </c>
      <c r="V7" s="62">
        <f t="shared" si="4"/>
        <v>24001967</v>
      </c>
      <c r="W7" s="62">
        <f t="shared" si="4"/>
        <v>24171874.207860731</v>
      </c>
      <c r="X7" s="62">
        <f t="shared" si="4"/>
        <v>23251657</v>
      </c>
      <c r="Y7" s="62">
        <f t="shared" si="4"/>
        <v>22707487</v>
      </c>
      <c r="Z7" s="95">
        <f t="shared" si="4"/>
        <v>22321805</v>
      </c>
      <c r="AA7" s="95">
        <f t="shared" ref="AA7" si="5">SUM(AA8:AA10)</f>
        <v>22069677</v>
      </c>
    </row>
    <row r="8" spans="1:27" s="6" customFormat="1" ht="9.6">
      <c r="A8" s="6" t="s">
        <v>341</v>
      </c>
      <c r="B8" s="63" t="s">
        <v>169</v>
      </c>
      <c r="C8" s="64">
        <v>6649023</v>
      </c>
      <c r="D8" s="64">
        <v>6971721</v>
      </c>
      <c r="E8" s="64">
        <v>7064903</v>
      </c>
      <c r="F8" s="64">
        <v>7308603</v>
      </c>
      <c r="G8" s="64">
        <v>7744215</v>
      </c>
      <c r="H8" s="64">
        <v>7791139</v>
      </c>
      <c r="I8" s="64">
        <v>7931019</v>
      </c>
      <c r="J8" s="64">
        <v>10749077</v>
      </c>
      <c r="K8" s="64">
        <v>11305891</v>
      </c>
      <c r="L8" s="64">
        <v>11465952</v>
      </c>
      <c r="M8" s="64">
        <v>11374903</v>
      </c>
      <c r="N8" s="64">
        <v>11904696</v>
      </c>
      <c r="O8" s="64">
        <f>11943091-79149</f>
        <v>11863942</v>
      </c>
      <c r="P8" s="64">
        <f>11964428-73181</f>
        <v>11891247</v>
      </c>
      <c r="Q8" s="64">
        <f>11899708-79080</f>
        <v>11820628</v>
      </c>
      <c r="R8" s="64">
        <v>11612837</v>
      </c>
      <c r="S8" s="64">
        <v>12038778</v>
      </c>
      <c r="T8" s="64">
        <v>11960242</v>
      </c>
      <c r="U8" s="64">
        <v>11650169</v>
      </c>
      <c r="V8" s="64">
        <v>11023892</v>
      </c>
      <c r="W8" s="64">
        <v>10909559.166399401</v>
      </c>
      <c r="X8" s="64">
        <v>10138489</v>
      </c>
      <c r="Y8" s="64">
        <v>10061313</v>
      </c>
      <c r="Z8" s="96">
        <v>9718718</v>
      </c>
      <c r="AA8" s="96">
        <v>11094845</v>
      </c>
    </row>
    <row r="9" spans="1:27" s="6" customFormat="1" ht="9.6">
      <c r="A9" s="6" t="s">
        <v>342</v>
      </c>
      <c r="B9" s="63" t="s">
        <v>170</v>
      </c>
      <c r="C9" s="64">
        <v>4330886</v>
      </c>
      <c r="D9" s="64">
        <v>4668444</v>
      </c>
      <c r="E9" s="64">
        <v>4917282</v>
      </c>
      <c r="F9" s="64">
        <v>5481578</v>
      </c>
      <c r="G9" s="64">
        <v>5690353</v>
      </c>
      <c r="H9" s="64">
        <v>6103213</v>
      </c>
      <c r="I9" s="64">
        <v>6191164</v>
      </c>
      <c r="J9" s="64">
        <v>7486754</v>
      </c>
      <c r="K9" s="64">
        <v>8157037</v>
      </c>
      <c r="L9" s="64">
        <v>8355025</v>
      </c>
      <c r="M9" s="64">
        <v>8570421</v>
      </c>
      <c r="N9" s="64">
        <v>8620606</v>
      </c>
      <c r="O9" s="64">
        <v>8455111</v>
      </c>
      <c r="P9" s="64">
        <v>8415320</v>
      </c>
      <c r="Q9" s="64">
        <v>8328087</v>
      </c>
      <c r="R9" s="64">
        <v>8310328</v>
      </c>
      <c r="S9" s="64">
        <v>7935188</v>
      </c>
      <c r="T9" s="64">
        <v>7970741</v>
      </c>
      <c r="U9" s="64">
        <v>7916491</v>
      </c>
      <c r="V9" s="64">
        <v>7189882</v>
      </c>
      <c r="W9" s="64">
        <v>7309560</v>
      </c>
      <c r="X9" s="64">
        <v>6771404</v>
      </c>
      <c r="Y9" s="64">
        <v>6694474</v>
      </c>
      <c r="Z9" s="96">
        <v>6574706</v>
      </c>
      <c r="AA9" s="96">
        <v>4644998</v>
      </c>
    </row>
    <row r="10" spans="1:27" s="6" customFormat="1" ht="9.6">
      <c r="A10" s="6" t="s">
        <v>343</v>
      </c>
      <c r="B10" s="63" t="s">
        <v>171</v>
      </c>
      <c r="C10" s="64">
        <v>703781</v>
      </c>
      <c r="D10" s="64">
        <v>656009</v>
      </c>
      <c r="E10" s="64">
        <v>625523</v>
      </c>
      <c r="F10" s="64">
        <v>521562</v>
      </c>
      <c r="G10" s="64">
        <v>759559</v>
      </c>
      <c r="H10" s="64">
        <v>858280</v>
      </c>
      <c r="I10" s="64">
        <v>903298</v>
      </c>
      <c r="J10" s="64">
        <v>2121933</v>
      </c>
      <c r="K10" s="64">
        <v>2511644</v>
      </c>
      <c r="L10" s="64">
        <v>2304718</v>
      </c>
      <c r="M10" s="64">
        <v>2655119</v>
      </c>
      <c r="N10" s="64">
        <v>2506612</v>
      </c>
      <c r="O10" s="64">
        <v>3067281</v>
      </c>
      <c r="P10" s="64">
        <v>3764103</v>
      </c>
      <c r="Q10" s="64">
        <v>4363309</v>
      </c>
      <c r="R10" s="64">
        <v>4879351</v>
      </c>
      <c r="S10" s="64">
        <v>5566211</v>
      </c>
      <c r="T10" s="64">
        <v>6340360</v>
      </c>
      <c r="U10" s="64">
        <v>6097203</v>
      </c>
      <c r="V10" s="64">
        <v>5788193</v>
      </c>
      <c r="W10" s="64">
        <v>5952755.0414613308</v>
      </c>
      <c r="X10" s="64">
        <v>6341764</v>
      </c>
      <c r="Y10" s="64">
        <v>5951700</v>
      </c>
      <c r="Z10" s="96">
        <v>6028381</v>
      </c>
      <c r="AA10" s="96">
        <v>6329834</v>
      </c>
    </row>
    <row r="11" spans="1:27" s="6" customFormat="1" ht="9.6">
      <c r="A11" s="6" t="s">
        <v>344</v>
      </c>
      <c r="B11" s="61" t="s">
        <v>172</v>
      </c>
      <c r="C11" s="62">
        <f t="shared" ref="C11:P11" si="6">C3+C7</f>
        <v>27410671</v>
      </c>
      <c r="D11" s="62">
        <f t="shared" si="6"/>
        <v>28344652</v>
      </c>
      <c r="E11" s="62">
        <f t="shared" si="6"/>
        <v>29389041</v>
      </c>
      <c r="F11" s="62">
        <f t="shared" si="6"/>
        <v>30907057</v>
      </c>
      <c r="G11" s="62">
        <f t="shared" si="6"/>
        <v>32738033</v>
      </c>
      <c r="H11" s="62">
        <f t="shared" si="6"/>
        <v>34136419</v>
      </c>
      <c r="I11" s="62">
        <f t="shared" si="6"/>
        <v>35088891</v>
      </c>
      <c r="J11" s="62">
        <f t="shared" si="6"/>
        <v>46247188</v>
      </c>
      <c r="K11" s="62">
        <f t="shared" si="6"/>
        <v>48402943</v>
      </c>
      <c r="L11" s="62">
        <f t="shared" si="6"/>
        <v>49079354</v>
      </c>
      <c r="M11" s="62">
        <f t="shared" si="6"/>
        <v>50099527</v>
      </c>
      <c r="N11" s="62">
        <f t="shared" si="6"/>
        <v>51266640</v>
      </c>
      <c r="O11" s="62">
        <f t="shared" si="6"/>
        <v>51326001</v>
      </c>
      <c r="P11" s="62">
        <f t="shared" si="6"/>
        <v>52433746</v>
      </c>
      <c r="Q11" s="62">
        <f>Q3+Q7</f>
        <v>53260652</v>
      </c>
      <c r="R11" s="62">
        <f t="shared" ref="R11:Z11" si="7">R3+R7</f>
        <v>54224846</v>
      </c>
      <c r="S11" s="62">
        <f t="shared" si="7"/>
        <v>55393764</v>
      </c>
      <c r="T11" s="62">
        <f t="shared" si="7"/>
        <v>56664314</v>
      </c>
      <c r="U11" s="62">
        <f t="shared" si="7"/>
        <v>56684484</v>
      </c>
      <c r="V11" s="62">
        <f t="shared" si="7"/>
        <v>55844522</v>
      </c>
      <c r="W11" s="62">
        <f t="shared" si="7"/>
        <v>56518126.207860731</v>
      </c>
      <c r="X11" s="62">
        <f t="shared" si="7"/>
        <v>55703480</v>
      </c>
      <c r="Y11" s="62">
        <f t="shared" si="7"/>
        <v>55995884</v>
      </c>
      <c r="Z11" s="95">
        <f t="shared" si="7"/>
        <v>56215422</v>
      </c>
      <c r="AA11" s="95">
        <f t="shared" ref="AA11" si="8">AA3+AA7</f>
        <v>56272609</v>
      </c>
    </row>
    <row r="15" spans="1:27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O27"/>
  <sheetViews>
    <sheetView zoomScale="90" zoomScaleNormal="90" workbookViewId="0">
      <pane xSplit="2" ySplit="4" topLeftCell="AJ5" activePane="bottomRight" state="frozen"/>
      <selection pane="topRight" activeCell="C1" sqref="C1"/>
      <selection pane="bottomLeft" activeCell="A4" sqref="A4"/>
      <selection pane="bottomRight"/>
    </sheetView>
  </sheetViews>
  <sheetFormatPr defaultRowHeight="10.199999999999999"/>
  <cols>
    <col min="1" max="1" width="17.42578125" bestFit="1" customWidth="1"/>
    <col min="2" max="2" width="19.42578125" customWidth="1"/>
    <col min="3" max="3" width="8.85546875" bestFit="1" customWidth="1"/>
    <col min="4" max="4" width="12.7109375" customWidth="1"/>
    <col min="5" max="6" width="8.85546875" bestFit="1" customWidth="1"/>
    <col min="7" max="7" width="12.7109375" customWidth="1"/>
    <col min="8" max="9" width="8.85546875" bestFit="1" customWidth="1"/>
    <col min="10" max="10" width="12.7109375" customWidth="1"/>
    <col min="11" max="12" width="8.85546875" bestFit="1" customWidth="1"/>
    <col min="13" max="13" width="12.7109375" customWidth="1"/>
    <col min="14" max="15" width="8.85546875" bestFit="1" customWidth="1"/>
    <col min="16" max="16" width="12.7109375" customWidth="1"/>
    <col min="17" max="18" width="8.85546875" bestFit="1" customWidth="1"/>
    <col min="19" max="19" width="12.7109375" customWidth="1"/>
    <col min="20" max="21" width="8.85546875" bestFit="1" customWidth="1"/>
    <col min="22" max="22" width="12.7109375" customWidth="1"/>
    <col min="23" max="24" width="8.85546875" bestFit="1" customWidth="1"/>
    <col min="25" max="25" width="12.7109375" customWidth="1"/>
    <col min="26" max="27" width="8.85546875" bestFit="1" customWidth="1"/>
    <col min="28" max="28" width="12.7109375" customWidth="1"/>
    <col min="29" max="30" width="8.85546875" bestFit="1" customWidth="1"/>
    <col min="31" max="31" width="12.7109375" customWidth="1"/>
    <col min="32" max="33" width="8.85546875" bestFit="1" customWidth="1"/>
    <col min="34" max="34" width="12.7109375" customWidth="1"/>
    <col min="35" max="35" width="8.85546875" bestFit="1" customWidth="1"/>
    <col min="36" max="41" width="13.7109375" customWidth="1"/>
  </cols>
  <sheetData>
    <row r="1" spans="1:41">
      <c r="E1" s="1"/>
      <c r="H1" s="1"/>
      <c r="K1" s="1"/>
      <c r="N1" s="1"/>
      <c r="Q1" s="1"/>
      <c r="T1" s="1"/>
      <c r="W1" s="1"/>
      <c r="Z1" s="1"/>
      <c r="AC1" s="1"/>
      <c r="AF1" s="1"/>
      <c r="AI1" s="1"/>
      <c r="AL1" s="1"/>
    </row>
    <row r="2" spans="1:41" ht="28.8">
      <c r="A2" s="99" t="s">
        <v>190</v>
      </c>
      <c r="B2" s="100" t="s">
        <v>375</v>
      </c>
      <c r="C2" s="111" t="s">
        <v>30</v>
      </c>
      <c r="D2" s="112"/>
      <c r="E2" s="113"/>
      <c r="F2" s="111" t="s">
        <v>31</v>
      </c>
      <c r="G2" s="112"/>
      <c r="H2" s="113"/>
      <c r="I2" s="111" t="s">
        <v>32</v>
      </c>
      <c r="J2" s="112"/>
      <c r="K2" s="113"/>
      <c r="L2" s="111" t="s">
        <v>34</v>
      </c>
      <c r="M2" s="112"/>
      <c r="N2" s="113"/>
      <c r="O2" s="111" t="s">
        <v>36</v>
      </c>
      <c r="P2" s="112"/>
      <c r="Q2" s="113"/>
      <c r="R2" s="111" t="s">
        <v>37</v>
      </c>
      <c r="S2" s="112"/>
      <c r="T2" s="113"/>
      <c r="U2" s="111" t="s">
        <v>180</v>
      </c>
      <c r="V2" s="112"/>
      <c r="W2" s="113"/>
      <c r="X2" s="111" t="s">
        <v>353</v>
      </c>
      <c r="Y2" s="112"/>
      <c r="Z2" s="113"/>
      <c r="AA2" s="111" t="s">
        <v>358</v>
      </c>
      <c r="AB2" s="112"/>
      <c r="AC2" s="113"/>
      <c r="AD2" s="111" t="s">
        <v>364</v>
      </c>
      <c r="AE2" s="112"/>
      <c r="AF2" s="113"/>
      <c r="AG2" s="111" t="s">
        <v>370</v>
      </c>
      <c r="AH2" s="112"/>
      <c r="AI2" s="113"/>
      <c r="AJ2" s="111" t="s">
        <v>374</v>
      </c>
      <c r="AK2" s="112"/>
      <c r="AL2" s="113"/>
      <c r="AM2" s="111" t="s">
        <v>392</v>
      </c>
      <c r="AN2" s="112"/>
      <c r="AO2" s="113"/>
    </row>
    <row r="3" spans="1:41" ht="38.4">
      <c r="A3" s="101"/>
      <c r="B3" s="100"/>
      <c r="C3" s="110" t="s">
        <v>386</v>
      </c>
      <c r="D3" s="110" t="s">
        <v>387</v>
      </c>
      <c r="E3" s="110" t="s">
        <v>385</v>
      </c>
      <c r="F3" s="110" t="s">
        <v>386</v>
      </c>
      <c r="G3" s="110" t="s">
        <v>387</v>
      </c>
      <c r="H3" s="110" t="s">
        <v>385</v>
      </c>
      <c r="I3" s="110" t="s">
        <v>386</v>
      </c>
      <c r="J3" s="110" t="s">
        <v>387</v>
      </c>
      <c r="K3" s="110" t="s">
        <v>385</v>
      </c>
      <c r="L3" s="110" t="s">
        <v>386</v>
      </c>
      <c r="M3" s="110" t="s">
        <v>387</v>
      </c>
      <c r="N3" s="110" t="s">
        <v>385</v>
      </c>
      <c r="O3" s="110" t="s">
        <v>386</v>
      </c>
      <c r="P3" s="110" t="s">
        <v>387</v>
      </c>
      <c r="Q3" s="110" t="s">
        <v>385</v>
      </c>
      <c r="R3" s="110" t="s">
        <v>386</v>
      </c>
      <c r="S3" s="110" t="s">
        <v>387</v>
      </c>
      <c r="T3" s="110" t="s">
        <v>385</v>
      </c>
      <c r="U3" s="110" t="s">
        <v>386</v>
      </c>
      <c r="V3" s="110" t="s">
        <v>387</v>
      </c>
      <c r="W3" s="110" t="s">
        <v>385</v>
      </c>
      <c r="X3" s="110" t="s">
        <v>386</v>
      </c>
      <c r="Y3" s="110" t="s">
        <v>387</v>
      </c>
      <c r="Z3" s="110" t="s">
        <v>385</v>
      </c>
      <c r="AA3" s="110" t="s">
        <v>386</v>
      </c>
      <c r="AB3" s="110" t="s">
        <v>387</v>
      </c>
      <c r="AC3" s="110" t="s">
        <v>385</v>
      </c>
      <c r="AD3" s="110" t="s">
        <v>386</v>
      </c>
      <c r="AE3" s="110" t="s">
        <v>387</v>
      </c>
      <c r="AF3" s="110" t="s">
        <v>385</v>
      </c>
      <c r="AG3" s="110" t="s">
        <v>386</v>
      </c>
      <c r="AH3" s="110" t="s">
        <v>387</v>
      </c>
      <c r="AI3" s="110" t="s">
        <v>385</v>
      </c>
      <c r="AJ3" s="110" t="s">
        <v>386</v>
      </c>
      <c r="AK3" s="110" t="s">
        <v>387</v>
      </c>
      <c r="AL3" s="110" t="s">
        <v>385</v>
      </c>
      <c r="AM3" s="110" t="s">
        <v>386</v>
      </c>
      <c r="AN3" s="110" t="s">
        <v>387</v>
      </c>
      <c r="AO3" s="110" t="s">
        <v>385</v>
      </c>
    </row>
    <row r="4" spans="1:41" ht="48">
      <c r="A4" s="101"/>
      <c r="B4" s="100"/>
      <c r="C4" s="110" t="s">
        <v>376</v>
      </c>
      <c r="D4" s="110" t="s">
        <v>377</v>
      </c>
      <c r="E4" s="110" t="s">
        <v>378</v>
      </c>
      <c r="F4" s="110" t="s">
        <v>376</v>
      </c>
      <c r="G4" s="110" t="s">
        <v>377</v>
      </c>
      <c r="H4" s="110" t="s">
        <v>378</v>
      </c>
      <c r="I4" s="110" t="s">
        <v>376</v>
      </c>
      <c r="J4" s="110" t="s">
        <v>377</v>
      </c>
      <c r="K4" s="110" t="s">
        <v>378</v>
      </c>
      <c r="L4" s="110" t="s">
        <v>376</v>
      </c>
      <c r="M4" s="110" t="s">
        <v>377</v>
      </c>
      <c r="N4" s="110" t="s">
        <v>378</v>
      </c>
      <c r="O4" s="110" t="s">
        <v>376</v>
      </c>
      <c r="P4" s="110" t="s">
        <v>377</v>
      </c>
      <c r="Q4" s="110" t="s">
        <v>378</v>
      </c>
      <c r="R4" s="110" t="s">
        <v>376</v>
      </c>
      <c r="S4" s="110" t="s">
        <v>377</v>
      </c>
      <c r="T4" s="110" t="s">
        <v>378</v>
      </c>
      <c r="U4" s="110" t="s">
        <v>376</v>
      </c>
      <c r="V4" s="110" t="s">
        <v>377</v>
      </c>
      <c r="W4" s="110" t="s">
        <v>378</v>
      </c>
      <c r="X4" s="110" t="s">
        <v>376</v>
      </c>
      <c r="Y4" s="110" t="s">
        <v>377</v>
      </c>
      <c r="Z4" s="110" t="s">
        <v>378</v>
      </c>
      <c r="AA4" s="110" t="s">
        <v>376</v>
      </c>
      <c r="AB4" s="110" t="s">
        <v>377</v>
      </c>
      <c r="AC4" s="110" t="s">
        <v>378</v>
      </c>
      <c r="AD4" s="110" t="s">
        <v>376</v>
      </c>
      <c r="AE4" s="110" t="s">
        <v>377</v>
      </c>
      <c r="AF4" s="110" t="s">
        <v>378</v>
      </c>
      <c r="AG4" s="110" t="s">
        <v>376</v>
      </c>
      <c r="AH4" s="110" t="s">
        <v>377</v>
      </c>
      <c r="AI4" s="110" t="s">
        <v>378</v>
      </c>
      <c r="AJ4" s="110" t="s">
        <v>376</v>
      </c>
      <c r="AK4" s="110" t="s">
        <v>377</v>
      </c>
      <c r="AL4" s="110" t="s">
        <v>378</v>
      </c>
      <c r="AM4" s="110" t="s">
        <v>376</v>
      </c>
      <c r="AN4" s="110" t="s">
        <v>377</v>
      </c>
      <c r="AO4" s="110" t="s">
        <v>378</v>
      </c>
    </row>
    <row r="5" spans="1:41">
      <c r="A5" s="102" t="s">
        <v>336</v>
      </c>
      <c r="B5" s="103" t="s">
        <v>164</v>
      </c>
      <c r="C5" s="104">
        <f t="shared" ref="C5:D5" si="0">SUM(C6:C9)</f>
        <v>30549864</v>
      </c>
      <c r="D5" s="104">
        <f t="shared" si="0"/>
        <v>-2610197</v>
      </c>
      <c r="E5" s="104">
        <f>SUM(C5:D5)</f>
        <v>27939667</v>
      </c>
      <c r="F5" s="104">
        <f t="shared" ref="F5:G5" si="1">SUM(F6:F9)</f>
        <v>30983123</v>
      </c>
      <c r="G5" s="104">
        <f t="shared" si="1"/>
        <v>-2620047</v>
      </c>
      <c r="H5" s="104">
        <f>SUM(F5:G5)</f>
        <v>28363076</v>
      </c>
      <c r="I5" s="104">
        <f t="shared" ref="I5:J5" si="2">SUM(I6:I9)</f>
        <v>31397062</v>
      </c>
      <c r="J5" s="104">
        <f t="shared" si="2"/>
        <v>-2648434</v>
      </c>
      <c r="K5" s="104">
        <f>SUM(I5:J5)</f>
        <v>28748628</v>
      </c>
      <c r="L5" s="104">
        <f t="shared" ref="L5:M5" si="3">SUM(L6:L9)</f>
        <v>32026894</v>
      </c>
      <c r="M5" s="104">
        <f t="shared" si="3"/>
        <v>-2604564</v>
      </c>
      <c r="N5" s="104">
        <f>SUM(L5:M5)</f>
        <v>29422330</v>
      </c>
      <c r="O5" s="104">
        <f t="shared" ref="O5:P5" si="4">SUM(O6:O9)</f>
        <v>32490619</v>
      </c>
      <c r="P5" s="104">
        <f t="shared" si="4"/>
        <v>-2637032</v>
      </c>
      <c r="Q5" s="104">
        <f>SUM(O5:P5)</f>
        <v>29853587</v>
      </c>
      <c r="R5" s="104">
        <f t="shared" ref="R5:S5" si="5">SUM(R6:R9)</f>
        <v>33059079</v>
      </c>
      <c r="S5" s="104">
        <f t="shared" si="5"/>
        <v>-2666108</v>
      </c>
      <c r="T5" s="104">
        <f>SUM(R5:S5)</f>
        <v>30392971</v>
      </c>
      <c r="U5" s="104">
        <f t="shared" ref="U5:V5" si="6">SUM(U6:U9)</f>
        <v>33626294</v>
      </c>
      <c r="V5" s="104">
        <f t="shared" si="6"/>
        <v>-2605673</v>
      </c>
      <c r="W5" s="104">
        <f>SUM(U5:V5)</f>
        <v>31020621</v>
      </c>
      <c r="X5" s="104">
        <f t="shared" ref="X5:Y5" si="7">SUM(X6:X9)</f>
        <v>34492218</v>
      </c>
      <c r="Y5" s="104">
        <f t="shared" si="7"/>
        <v>-2649663</v>
      </c>
      <c r="Z5" s="104">
        <f>SUM(X5:Y5)</f>
        <v>31842555</v>
      </c>
      <c r="AA5" s="104">
        <f t="shared" ref="AA5:AB5" si="8">SUM(AA6:AA9)</f>
        <v>35063271</v>
      </c>
      <c r="AB5" s="104">
        <f t="shared" si="8"/>
        <v>-2717019</v>
      </c>
      <c r="AC5" s="104">
        <f>SUM(AA5:AB5)</f>
        <v>32346252</v>
      </c>
      <c r="AD5" s="104">
        <f t="shared" ref="AD5:AE5" si="9">SUM(AD6:AD9)</f>
        <v>35212759</v>
      </c>
      <c r="AE5" s="104">
        <f t="shared" si="9"/>
        <v>-2760936</v>
      </c>
      <c r="AF5" s="104">
        <f>SUM(AD5:AE5)</f>
        <v>32451823</v>
      </c>
      <c r="AG5" s="104">
        <f t="shared" ref="AG5:AH5" si="10">SUM(AG6:AG9)</f>
        <v>36235994</v>
      </c>
      <c r="AH5" s="104">
        <f t="shared" si="10"/>
        <v>-2947597</v>
      </c>
      <c r="AI5" s="104">
        <f>SUM(AG5:AH5)</f>
        <v>33288397</v>
      </c>
      <c r="AJ5" s="104">
        <f t="shared" ref="AJ5:AK5" si="11">SUM(AJ6:AJ9)</f>
        <v>36750867</v>
      </c>
      <c r="AK5" s="104">
        <f t="shared" si="11"/>
        <v>-2857250</v>
      </c>
      <c r="AL5" s="104">
        <f>SUM(AJ5:AK5)</f>
        <v>33893617</v>
      </c>
      <c r="AM5" s="104">
        <f t="shared" ref="AM5:AN5" si="12">SUM(AM6:AM9)</f>
        <v>36702350</v>
      </c>
      <c r="AN5" s="104">
        <f t="shared" si="12"/>
        <v>-2499418</v>
      </c>
      <c r="AO5" s="104">
        <f>SUM(AM5:AN5)</f>
        <v>34202932</v>
      </c>
    </row>
    <row r="6" spans="1:41">
      <c r="A6" s="101" t="s">
        <v>379</v>
      </c>
      <c r="B6" s="105" t="s">
        <v>132</v>
      </c>
      <c r="C6" s="106">
        <v>25622106</v>
      </c>
      <c r="D6" s="106">
        <f>-351724+41888+6</f>
        <v>-309830</v>
      </c>
      <c r="E6" s="107">
        <f t="shared" ref="E6:E15" si="13">SUM(C6:D6)</f>
        <v>25312276</v>
      </c>
      <c r="F6" s="106">
        <v>25999683</v>
      </c>
      <c r="G6" s="106">
        <v>-301200</v>
      </c>
      <c r="H6" s="107">
        <f t="shared" ref="H6:H15" si="14">SUM(F6:G6)</f>
        <v>25698483</v>
      </c>
      <c r="I6" s="106">
        <v>26584525</v>
      </c>
      <c r="J6" s="106">
        <v>-316941</v>
      </c>
      <c r="K6" s="107">
        <f t="shared" ref="K6:K15" si="15">SUM(I6:J6)</f>
        <v>26267584</v>
      </c>
      <c r="L6" s="106">
        <v>26256315</v>
      </c>
      <c r="M6" s="106">
        <v>-288859</v>
      </c>
      <c r="N6" s="107">
        <f t="shared" ref="N6:N15" si="16">SUM(L6:M6)</f>
        <v>25967456</v>
      </c>
      <c r="O6" s="106">
        <v>26669278</v>
      </c>
      <c r="P6" s="106">
        <v>-263631</v>
      </c>
      <c r="Q6" s="107">
        <f t="shared" ref="Q6:Q15" si="17">SUM(O6:P6)</f>
        <v>26405647</v>
      </c>
      <c r="R6" s="106">
        <v>27266898</v>
      </c>
      <c r="S6" s="106">
        <v>-288097</v>
      </c>
      <c r="T6" s="107">
        <f t="shared" ref="T6:T15" si="18">SUM(R6:S6)</f>
        <v>26978801</v>
      </c>
      <c r="U6" s="106">
        <v>28053059</v>
      </c>
      <c r="V6" s="106">
        <v>-285604</v>
      </c>
      <c r="W6" s="107">
        <f t="shared" ref="W6:W15" si="19">SUM(U6:V6)</f>
        <v>27767455</v>
      </c>
      <c r="X6" s="106">
        <v>29057301</v>
      </c>
      <c r="Y6" s="106">
        <v>-305168</v>
      </c>
      <c r="Z6" s="107">
        <f t="shared" ref="Z6:Z15" si="20">SUM(X6:Y6)</f>
        <v>28752133</v>
      </c>
      <c r="AA6" s="106">
        <v>29524088</v>
      </c>
      <c r="AB6" s="106">
        <v>-316453</v>
      </c>
      <c r="AC6" s="107">
        <f t="shared" ref="AC6:AC15" si="21">SUM(AA6:AB6)</f>
        <v>29207635</v>
      </c>
      <c r="AD6" s="106">
        <v>29351385</v>
      </c>
      <c r="AE6" s="106">
        <v>-340170</v>
      </c>
      <c r="AF6" s="107">
        <f t="shared" ref="AF6:AF15" si="22">SUM(AD6:AE6)</f>
        <v>29011215</v>
      </c>
      <c r="AG6" s="106">
        <v>30260616</v>
      </c>
      <c r="AH6" s="106">
        <v>-366047</v>
      </c>
      <c r="AI6" s="107">
        <f t="shared" ref="AI6:AI15" si="23">SUM(AG6:AH6)</f>
        <v>29894569</v>
      </c>
      <c r="AJ6" s="106">
        <v>31012809</v>
      </c>
      <c r="AK6" s="106">
        <v>-364336</v>
      </c>
      <c r="AL6" s="107">
        <f t="shared" ref="AL6:AL15" si="24">SUM(AJ6:AK6)</f>
        <v>30648473</v>
      </c>
      <c r="AM6" s="106">
        <v>31484511</v>
      </c>
      <c r="AN6" s="106">
        <v>-333647</v>
      </c>
      <c r="AO6" s="107">
        <f t="shared" ref="AO6:AO15" si="25">SUM(AM6:AN6)</f>
        <v>31150864</v>
      </c>
    </row>
    <row r="7" spans="1:41">
      <c r="A7" s="101" t="s">
        <v>302</v>
      </c>
      <c r="B7" s="105" t="s">
        <v>129</v>
      </c>
      <c r="C7" s="106">
        <v>2210724</v>
      </c>
      <c r="D7" s="106">
        <f>-443646-172948</f>
        <v>-616594</v>
      </c>
      <c r="E7" s="107">
        <f t="shared" si="13"/>
        <v>1594130</v>
      </c>
      <c r="F7" s="106">
        <v>2260732</v>
      </c>
      <c r="G7" s="106">
        <v>-617246</v>
      </c>
      <c r="H7" s="107">
        <f t="shared" si="14"/>
        <v>1643486</v>
      </c>
      <c r="I7" s="106">
        <v>1999126</v>
      </c>
      <c r="J7" s="106">
        <v>-579025</v>
      </c>
      <c r="K7" s="107">
        <f t="shared" si="15"/>
        <v>1420101</v>
      </c>
      <c r="L7" s="106">
        <v>2944648</v>
      </c>
      <c r="M7" s="106">
        <v>-539526</v>
      </c>
      <c r="N7" s="107">
        <f t="shared" si="16"/>
        <v>2405122</v>
      </c>
      <c r="O7" s="106">
        <v>2948707</v>
      </c>
      <c r="P7" s="106">
        <v>-536486</v>
      </c>
      <c r="Q7" s="107">
        <f t="shared" si="17"/>
        <v>2412221</v>
      </c>
      <c r="R7" s="106">
        <v>2869408</v>
      </c>
      <c r="S7" s="106">
        <v>-515236</v>
      </c>
      <c r="T7" s="107">
        <f t="shared" si="18"/>
        <v>2354172</v>
      </c>
      <c r="U7" s="106">
        <v>2752740</v>
      </c>
      <c r="V7" s="106">
        <v>-497105</v>
      </c>
      <c r="W7" s="107">
        <f t="shared" si="19"/>
        <v>2255635</v>
      </c>
      <c r="X7" s="106">
        <v>2576933</v>
      </c>
      <c r="Y7" s="106">
        <v>-468820</v>
      </c>
      <c r="Z7" s="107">
        <f t="shared" si="20"/>
        <v>2108113</v>
      </c>
      <c r="AA7" s="106">
        <v>2597104</v>
      </c>
      <c r="AB7" s="106">
        <v>-455457</v>
      </c>
      <c r="AC7" s="107">
        <f t="shared" si="21"/>
        <v>2141647</v>
      </c>
      <c r="AD7" s="106">
        <v>2883743</v>
      </c>
      <c r="AE7" s="106">
        <v>-465699</v>
      </c>
      <c r="AF7" s="107">
        <f t="shared" si="22"/>
        <v>2418044</v>
      </c>
      <c r="AG7" s="106">
        <v>2802648</v>
      </c>
      <c r="AH7" s="106">
        <v>-478668</v>
      </c>
      <c r="AI7" s="107">
        <f t="shared" si="23"/>
        <v>2323980</v>
      </c>
      <c r="AJ7" s="106">
        <v>2676064</v>
      </c>
      <c r="AK7" s="106">
        <v>-450325</v>
      </c>
      <c r="AL7" s="107">
        <f t="shared" si="24"/>
        <v>2225739</v>
      </c>
      <c r="AM7" s="106">
        <v>2494331</v>
      </c>
      <c r="AN7" s="106">
        <v>-385618</v>
      </c>
      <c r="AO7" s="107">
        <f t="shared" si="25"/>
        <v>2108713</v>
      </c>
    </row>
    <row r="8" spans="1:41">
      <c r="A8" s="101" t="s">
        <v>380</v>
      </c>
      <c r="B8" s="105" t="s">
        <v>381</v>
      </c>
      <c r="C8" s="106">
        <v>2540024</v>
      </c>
      <c r="D8" s="106">
        <f>-1625165-33114</f>
        <v>-1658279</v>
      </c>
      <c r="E8" s="107">
        <f t="shared" si="13"/>
        <v>881745</v>
      </c>
      <c r="F8" s="106">
        <v>2551191</v>
      </c>
      <c r="G8" s="106">
        <v>-1667962</v>
      </c>
      <c r="H8" s="107">
        <f t="shared" si="14"/>
        <v>883229</v>
      </c>
      <c r="I8" s="106">
        <v>2661588</v>
      </c>
      <c r="J8" s="106">
        <v>-1718198</v>
      </c>
      <c r="K8" s="107">
        <f t="shared" si="15"/>
        <v>943390</v>
      </c>
      <c r="L8" s="106">
        <v>2687348</v>
      </c>
      <c r="M8" s="106">
        <v>-1739333</v>
      </c>
      <c r="N8" s="107">
        <f t="shared" si="16"/>
        <v>948015</v>
      </c>
      <c r="O8" s="106">
        <v>2739601</v>
      </c>
      <c r="P8" s="106">
        <v>-1791666</v>
      </c>
      <c r="Q8" s="107">
        <f t="shared" si="17"/>
        <v>947935</v>
      </c>
      <c r="R8" s="106">
        <v>2797064</v>
      </c>
      <c r="S8" s="106">
        <v>-1817404</v>
      </c>
      <c r="T8" s="107">
        <f t="shared" si="18"/>
        <v>979660</v>
      </c>
      <c r="U8" s="106">
        <v>2701613</v>
      </c>
      <c r="V8" s="106">
        <v>-1770088</v>
      </c>
      <c r="W8" s="107">
        <f t="shared" si="19"/>
        <v>931525</v>
      </c>
      <c r="X8" s="106">
        <v>2742152</v>
      </c>
      <c r="Y8" s="106">
        <v>-1816378</v>
      </c>
      <c r="Z8" s="107">
        <f t="shared" si="20"/>
        <v>925774</v>
      </c>
      <c r="AA8" s="106">
        <v>2835657</v>
      </c>
      <c r="AB8" s="106">
        <v>-1886281</v>
      </c>
      <c r="AC8" s="107">
        <f t="shared" si="21"/>
        <v>949376</v>
      </c>
      <c r="AD8" s="106">
        <v>2891594</v>
      </c>
      <c r="AE8" s="106">
        <v>-1917346</v>
      </c>
      <c r="AF8" s="107">
        <f t="shared" si="22"/>
        <v>974248</v>
      </c>
      <c r="AG8" s="106">
        <v>3086814</v>
      </c>
      <c r="AH8" s="106">
        <v>-2060693</v>
      </c>
      <c r="AI8" s="107">
        <f t="shared" si="23"/>
        <v>1026121</v>
      </c>
      <c r="AJ8" s="106">
        <v>2996225</v>
      </c>
      <c r="AK8" s="106">
        <v>-2013430</v>
      </c>
      <c r="AL8" s="107">
        <f t="shared" si="24"/>
        <v>982795</v>
      </c>
      <c r="AM8" s="106">
        <v>2670665</v>
      </c>
      <c r="AN8" s="106">
        <v>-1758827</v>
      </c>
      <c r="AO8" s="107">
        <f t="shared" si="25"/>
        <v>911838</v>
      </c>
    </row>
    <row r="9" spans="1:41">
      <c r="A9" s="101" t="s">
        <v>133</v>
      </c>
      <c r="B9" s="105" t="s">
        <v>382</v>
      </c>
      <c r="C9" s="106">
        <v>177010</v>
      </c>
      <c r="D9" s="106">
        <v>-25494</v>
      </c>
      <c r="E9" s="107">
        <f t="shared" si="13"/>
        <v>151516</v>
      </c>
      <c r="F9" s="106">
        <v>171517</v>
      </c>
      <c r="G9" s="106">
        <v>-33639</v>
      </c>
      <c r="H9" s="107">
        <f t="shared" si="14"/>
        <v>137878</v>
      </c>
      <c r="I9" s="106">
        <v>151823</v>
      </c>
      <c r="J9" s="106">
        <v>-34270</v>
      </c>
      <c r="K9" s="107">
        <f t="shared" si="15"/>
        <v>117553</v>
      </c>
      <c r="L9" s="106">
        <v>138583</v>
      </c>
      <c r="M9" s="106">
        <v>-36846</v>
      </c>
      <c r="N9" s="107">
        <f t="shared" si="16"/>
        <v>101737</v>
      </c>
      <c r="O9" s="106">
        <v>133033</v>
      </c>
      <c r="P9" s="106">
        <v>-45249</v>
      </c>
      <c r="Q9" s="107">
        <f t="shared" si="17"/>
        <v>87784</v>
      </c>
      <c r="R9" s="106">
        <v>125709</v>
      </c>
      <c r="S9" s="106">
        <v>-45371</v>
      </c>
      <c r="T9" s="107">
        <f t="shared" si="18"/>
        <v>80338</v>
      </c>
      <c r="U9" s="106">
        <v>118882</v>
      </c>
      <c r="V9" s="106">
        <v>-52876</v>
      </c>
      <c r="W9" s="107">
        <f t="shared" si="19"/>
        <v>66006</v>
      </c>
      <c r="X9" s="106">
        <v>115832</v>
      </c>
      <c r="Y9" s="106">
        <v>-59297</v>
      </c>
      <c r="Z9" s="107">
        <f t="shared" si="20"/>
        <v>56535</v>
      </c>
      <c r="AA9" s="106">
        <v>106422</v>
      </c>
      <c r="AB9" s="106">
        <v>-58828</v>
      </c>
      <c r="AC9" s="107">
        <f t="shared" si="21"/>
        <v>47594</v>
      </c>
      <c r="AD9" s="106">
        <v>86037</v>
      </c>
      <c r="AE9" s="106">
        <v>-37721</v>
      </c>
      <c r="AF9" s="107">
        <f t="shared" si="22"/>
        <v>48316</v>
      </c>
      <c r="AG9" s="106">
        <v>85916</v>
      </c>
      <c r="AH9" s="106">
        <v>-42189</v>
      </c>
      <c r="AI9" s="107">
        <f t="shared" si="23"/>
        <v>43727</v>
      </c>
      <c r="AJ9" s="106">
        <v>65769</v>
      </c>
      <c r="AK9" s="106">
        <v>-29159</v>
      </c>
      <c r="AL9" s="107">
        <f t="shared" si="24"/>
        <v>36610</v>
      </c>
      <c r="AM9" s="106">
        <v>52843</v>
      </c>
      <c r="AN9" s="106">
        <v>-21326</v>
      </c>
      <c r="AO9" s="107">
        <f t="shared" si="25"/>
        <v>31517</v>
      </c>
    </row>
    <row r="10" spans="1:41">
      <c r="A10" s="102" t="s">
        <v>340</v>
      </c>
      <c r="B10" s="103" t="s">
        <v>168</v>
      </c>
      <c r="C10" s="104">
        <f t="shared" ref="C10:D10" si="26">SUM(C11:C14)</f>
        <v>25174217</v>
      </c>
      <c r="D10" s="104">
        <f t="shared" si="26"/>
        <v>-1787883</v>
      </c>
      <c r="E10" s="104">
        <f t="shared" si="13"/>
        <v>23386334</v>
      </c>
      <c r="F10" s="104">
        <f t="shared" ref="F10:G10" si="27">SUM(F11:F14)</f>
        <v>25895647</v>
      </c>
      <c r="G10" s="104">
        <f t="shared" si="27"/>
        <v>-1824977</v>
      </c>
      <c r="H10" s="104">
        <f>SUM(F10:G10)</f>
        <v>24070670</v>
      </c>
      <c r="I10" s="104">
        <f t="shared" ref="I10:J10" si="28">SUM(I11:I14)</f>
        <v>26518342</v>
      </c>
      <c r="J10" s="104">
        <f t="shared" si="28"/>
        <v>-2006318</v>
      </c>
      <c r="K10" s="104">
        <f t="shared" si="15"/>
        <v>24512024</v>
      </c>
      <c r="L10" s="104">
        <f t="shared" ref="L10:M10" si="29">SUM(L11:L14)</f>
        <v>26869437</v>
      </c>
      <c r="M10" s="104">
        <f t="shared" si="29"/>
        <v>-2066921</v>
      </c>
      <c r="N10" s="104">
        <f t="shared" si="16"/>
        <v>24802516</v>
      </c>
      <c r="O10" s="104">
        <f t="shared" ref="O10:P10" si="30">SUM(O11:O14)</f>
        <v>27788176</v>
      </c>
      <c r="P10" s="104">
        <f t="shared" si="30"/>
        <v>-2247999</v>
      </c>
      <c r="Q10" s="104">
        <f t="shared" si="17"/>
        <v>25540177</v>
      </c>
      <c r="R10" s="104">
        <f t="shared" ref="R10:S10" si="31">SUM(R11:R14)</f>
        <v>28941516</v>
      </c>
      <c r="S10" s="104">
        <f t="shared" si="31"/>
        <v>-2670173</v>
      </c>
      <c r="T10" s="104">
        <f t="shared" si="18"/>
        <v>26271343</v>
      </c>
      <c r="U10" s="104">
        <f t="shared" ref="U10:V10" si="32">SUM(U11:U14)</f>
        <v>28533186</v>
      </c>
      <c r="V10" s="104">
        <f t="shared" si="32"/>
        <v>-2869323</v>
      </c>
      <c r="W10" s="104">
        <f t="shared" si="19"/>
        <v>25663863</v>
      </c>
      <c r="X10" s="104">
        <f t="shared" ref="X10:Y10" si="33">SUM(X11:X14)</f>
        <v>26801309</v>
      </c>
      <c r="Y10" s="104">
        <f t="shared" si="33"/>
        <v>-2799342</v>
      </c>
      <c r="Z10" s="104">
        <f t="shared" si="20"/>
        <v>24001967</v>
      </c>
      <c r="AA10" s="104">
        <f t="shared" ref="AA10:AB10" si="34">SUM(AA11:AA14)</f>
        <v>27135108</v>
      </c>
      <c r="AB10" s="104">
        <f t="shared" si="34"/>
        <v>-2963234</v>
      </c>
      <c r="AC10" s="104">
        <f t="shared" si="21"/>
        <v>24171874</v>
      </c>
      <c r="AD10" s="104">
        <f t="shared" ref="AD10:AE10" si="35">SUM(AD11:AD14)</f>
        <v>26497707</v>
      </c>
      <c r="AE10" s="104">
        <f t="shared" si="35"/>
        <v>-3246050</v>
      </c>
      <c r="AF10" s="104">
        <f t="shared" si="22"/>
        <v>23251657</v>
      </c>
      <c r="AG10" s="104">
        <f t="shared" ref="AG10:AH10" si="36">SUM(AG11:AG14)</f>
        <v>26109605</v>
      </c>
      <c r="AH10" s="104">
        <f t="shared" si="36"/>
        <v>-3402118</v>
      </c>
      <c r="AI10" s="104">
        <f t="shared" si="23"/>
        <v>22707487</v>
      </c>
      <c r="AJ10" s="104">
        <f t="shared" ref="AJ10:AK10" si="37">SUM(AJ11:AJ14)</f>
        <v>25711076</v>
      </c>
      <c r="AK10" s="104">
        <f t="shared" si="37"/>
        <v>-3389271</v>
      </c>
      <c r="AL10" s="104">
        <f t="shared" si="24"/>
        <v>22321805</v>
      </c>
      <c r="AM10" s="104">
        <f t="shared" ref="AM10:AN10" si="38">SUM(AM11:AM14)</f>
        <v>25353111</v>
      </c>
      <c r="AN10" s="104">
        <f t="shared" si="38"/>
        <v>-3283434</v>
      </c>
      <c r="AO10" s="104">
        <f t="shared" si="25"/>
        <v>22069677</v>
      </c>
    </row>
    <row r="11" spans="1:41">
      <c r="A11" s="101" t="s">
        <v>379</v>
      </c>
      <c r="B11" s="105" t="s">
        <v>132</v>
      </c>
      <c r="C11" s="106">
        <v>17833876</v>
      </c>
      <c r="D11" s="106">
        <v>-216477</v>
      </c>
      <c r="E11" s="107">
        <f>SUM(C11:D11)</f>
        <v>17617399</v>
      </c>
      <c r="F11" s="106">
        <v>17839899</v>
      </c>
      <c r="G11" s="106">
        <v>-201495</v>
      </c>
      <c r="H11" s="107">
        <f t="shared" si="14"/>
        <v>17638404</v>
      </c>
      <c r="I11" s="106">
        <v>18443751</v>
      </c>
      <c r="J11" s="106">
        <v>-180175</v>
      </c>
      <c r="K11" s="107">
        <f t="shared" si="15"/>
        <v>18263576</v>
      </c>
      <c r="L11" s="106">
        <f>18965644</f>
        <v>18965644</v>
      </c>
      <c r="M11" s="106">
        <v>-178683</v>
      </c>
      <c r="N11" s="107">
        <f t="shared" si="16"/>
        <v>18786961</v>
      </c>
      <c r="O11" s="106">
        <v>19295530</v>
      </c>
      <c r="P11" s="106">
        <v>-170145</v>
      </c>
      <c r="Q11" s="107">
        <f t="shared" si="17"/>
        <v>19125385</v>
      </c>
      <c r="R11" s="106">
        <v>3374238</v>
      </c>
      <c r="S11" s="106">
        <v>-235262</v>
      </c>
      <c r="T11" s="107">
        <f t="shared" si="18"/>
        <v>3138976</v>
      </c>
      <c r="U11" s="106">
        <v>19216776</v>
      </c>
      <c r="V11" s="106">
        <v>-181380</v>
      </c>
      <c r="W11" s="107">
        <f t="shared" si="19"/>
        <v>19035396</v>
      </c>
      <c r="X11" s="106">
        <v>17302684</v>
      </c>
      <c r="Y11" s="106">
        <v>-165966</v>
      </c>
      <c r="Z11" s="107">
        <f t="shared" si="20"/>
        <v>17136718</v>
      </c>
      <c r="AA11" s="106">
        <v>17095853</v>
      </c>
      <c r="AB11" s="106">
        <v>-168568</v>
      </c>
      <c r="AC11" s="107">
        <f t="shared" si="21"/>
        <v>16927285</v>
      </c>
      <c r="AD11" s="106">
        <v>15458345</v>
      </c>
      <c r="AE11" s="106">
        <v>-126604</v>
      </c>
      <c r="AF11" s="107">
        <f t="shared" si="22"/>
        <v>15331741</v>
      </c>
      <c r="AG11" s="106">
        <v>15147661</v>
      </c>
      <c r="AH11" s="106">
        <v>-136569</v>
      </c>
      <c r="AI11" s="107">
        <f t="shared" si="23"/>
        <v>15011092</v>
      </c>
      <c r="AJ11" s="106">
        <v>14774099</v>
      </c>
      <c r="AK11" s="106">
        <v>-128464</v>
      </c>
      <c r="AL11" s="107">
        <f t="shared" si="24"/>
        <v>14645635</v>
      </c>
      <c r="AM11" s="106">
        <v>14715703</v>
      </c>
      <c r="AN11" s="106">
        <v>-126993</v>
      </c>
      <c r="AO11" s="107">
        <f t="shared" si="25"/>
        <v>14588710</v>
      </c>
    </row>
    <row r="12" spans="1:41">
      <c r="A12" s="101" t="s">
        <v>302</v>
      </c>
      <c r="B12" s="105" t="s">
        <v>129</v>
      </c>
      <c r="C12" s="106">
        <v>3278306</v>
      </c>
      <c r="D12" s="106">
        <v>-204688</v>
      </c>
      <c r="E12" s="107">
        <f t="shared" si="13"/>
        <v>3073618</v>
      </c>
      <c r="F12" s="106">
        <v>3585311</v>
      </c>
      <c r="G12" s="106">
        <v>-190975</v>
      </c>
      <c r="H12" s="107">
        <f t="shared" si="14"/>
        <v>3394336</v>
      </c>
      <c r="I12" s="106">
        <v>3311993</v>
      </c>
      <c r="J12" s="106">
        <v>-195565</v>
      </c>
      <c r="K12" s="107">
        <f t="shared" si="15"/>
        <v>3116428</v>
      </c>
      <c r="L12" s="106">
        <v>3411742</v>
      </c>
      <c r="M12" s="106">
        <v>-231610</v>
      </c>
      <c r="N12" s="107">
        <f t="shared" si="16"/>
        <v>3180132</v>
      </c>
      <c r="O12" s="106">
        <v>3741834</v>
      </c>
      <c r="P12" s="106">
        <v>-239428</v>
      </c>
      <c r="Q12" s="107">
        <f t="shared" si="17"/>
        <v>3502406</v>
      </c>
      <c r="R12" s="106">
        <v>20246046</v>
      </c>
      <c r="S12" s="106">
        <v>-183896</v>
      </c>
      <c r="T12" s="107">
        <f t="shared" si="18"/>
        <v>20062150</v>
      </c>
      <c r="U12" s="106">
        <v>3649259</v>
      </c>
      <c r="V12" s="106">
        <v>-228445</v>
      </c>
      <c r="W12" s="107">
        <f t="shared" si="19"/>
        <v>3420814</v>
      </c>
      <c r="X12" s="106">
        <v>3448949</v>
      </c>
      <c r="Y12" s="106">
        <v>-264519</v>
      </c>
      <c r="Z12" s="107">
        <f t="shared" si="20"/>
        <v>3184430</v>
      </c>
      <c r="AA12" s="106">
        <v>3657128</v>
      </c>
      <c r="AB12" s="106">
        <v>-247324</v>
      </c>
      <c r="AC12" s="107">
        <f t="shared" si="21"/>
        <v>3409804</v>
      </c>
      <c r="AD12" s="106">
        <v>4908616</v>
      </c>
      <c r="AE12" s="106">
        <v>-327649</v>
      </c>
      <c r="AF12" s="107">
        <f t="shared" si="22"/>
        <v>4580967</v>
      </c>
      <c r="AG12" s="106">
        <v>4680497</v>
      </c>
      <c r="AH12" s="106">
        <v>-333719</v>
      </c>
      <c r="AI12" s="107">
        <f t="shared" si="23"/>
        <v>4346778</v>
      </c>
      <c r="AJ12" s="106">
        <v>4935389</v>
      </c>
      <c r="AK12" s="106">
        <v>-322301</v>
      </c>
      <c r="AL12" s="107">
        <f t="shared" si="24"/>
        <v>4613088</v>
      </c>
      <c r="AM12" s="106">
        <v>4759101</v>
      </c>
      <c r="AN12" s="106">
        <v>-289483</v>
      </c>
      <c r="AO12" s="107">
        <f t="shared" si="25"/>
        <v>4469618</v>
      </c>
    </row>
    <row r="13" spans="1:41">
      <c r="A13" s="101" t="s">
        <v>380</v>
      </c>
      <c r="B13" s="105" t="s">
        <v>381</v>
      </c>
      <c r="C13" s="106">
        <v>3769016</v>
      </c>
      <c r="D13" s="106">
        <v>-1371549</v>
      </c>
      <c r="E13" s="107">
        <f t="shared" si="13"/>
        <v>2397467</v>
      </c>
      <c r="F13" s="106">
        <v>4178108</v>
      </c>
      <c r="G13" s="106">
        <v>-1427631</v>
      </c>
      <c r="H13" s="107">
        <f t="shared" si="14"/>
        <v>2750477</v>
      </c>
      <c r="I13" s="106">
        <v>4488336</v>
      </c>
      <c r="J13" s="106">
        <v>-1613747</v>
      </c>
      <c r="K13" s="107">
        <f t="shared" si="15"/>
        <v>2874589</v>
      </c>
      <c r="L13" s="106">
        <v>4231822</v>
      </c>
      <c r="M13" s="106">
        <v>-1632235</v>
      </c>
      <c r="N13" s="107">
        <f t="shared" si="16"/>
        <v>2599587</v>
      </c>
      <c r="O13" s="106">
        <v>4494159</v>
      </c>
      <c r="P13" s="106">
        <v>-1803636</v>
      </c>
      <c r="Q13" s="107">
        <f t="shared" si="17"/>
        <v>2690523</v>
      </c>
      <c r="R13" s="106">
        <v>5066657</v>
      </c>
      <c r="S13" s="106">
        <v>-2207526</v>
      </c>
      <c r="T13" s="107">
        <f t="shared" si="18"/>
        <v>2859131</v>
      </c>
      <c r="U13" s="106">
        <v>5410967</v>
      </c>
      <c r="V13" s="106">
        <v>-2409688</v>
      </c>
      <c r="W13" s="107">
        <f t="shared" si="19"/>
        <v>3001279</v>
      </c>
      <c r="X13" s="106">
        <v>5830089</v>
      </c>
      <c r="Y13" s="106">
        <v>-2337536</v>
      </c>
      <c r="Z13" s="107">
        <f t="shared" si="20"/>
        <v>3492553</v>
      </c>
      <c r="AA13" s="106">
        <v>6158588</v>
      </c>
      <c r="AB13" s="106">
        <v>-2511033</v>
      </c>
      <c r="AC13" s="107">
        <f t="shared" si="21"/>
        <v>3647555</v>
      </c>
      <c r="AD13" s="106">
        <v>5916928</v>
      </c>
      <c r="AE13" s="106">
        <v>-2753018</v>
      </c>
      <c r="AF13" s="107">
        <f t="shared" si="22"/>
        <v>3163910</v>
      </c>
      <c r="AG13" s="106">
        <v>6068890</v>
      </c>
      <c r="AH13" s="106">
        <v>-2888448</v>
      </c>
      <c r="AI13" s="107">
        <f t="shared" si="23"/>
        <v>3180442</v>
      </c>
      <c r="AJ13" s="106">
        <v>5788285</v>
      </c>
      <c r="AK13" s="106">
        <v>-2891251</v>
      </c>
      <c r="AL13" s="107">
        <f t="shared" si="24"/>
        <v>2897034</v>
      </c>
      <c r="AM13" s="106">
        <v>5687050</v>
      </c>
      <c r="AN13" s="106">
        <v>-2840020</v>
      </c>
      <c r="AO13" s="107">
        <f t="shared" si="25"/>
        <v>2847030</v>
      </c>
    </row>
    <row r="14" spans="1:41">
      <c r="A14" s="101" t="s">
        <v>133</v>
      </c>
      <c r="B14" s="105" t="s">
        <v>382</v>
      </c>
      <c r="C14" s="106">
        <v>293019</v>
      </c>
      <c r="D14" s="106">
        <v>4831</v>
      </c>
      <c r="E14" s="107">
        <f t="shared" si="13"/>
        <v>297850</v>
      </c>
      <c r="F14" s="106">
        <v>292329</v>
      </c>
      <c r="G14" s="106">
        <v>-4876</v>
      </c>
      <c r="H14" s="107">
        <f t="shared" si="14"/>
        <v>287453</v>
      </c>
      <c r="I14" s="106">
        <v>274262</v>
      </c>
      <c r="J14" s="106">
        <v>-16831</v>
      </c>
      <c r="K14" s="107">
        <f t="shared" si="15"/>
        <v>257431</v>
      </c>
      <c r="L14" s="106">
        <v>260229</v>
      </c>
      <c r="M14" s="106">
        <v>-24393</v>
      </c>
      <c r="N14" s="107">
        <f t="shared" si="16"/>
        <v>235836</v>
      </c>
      <c r="O14" s="106">
        <v>256653</v>
      </c>
      <c r="P14" s="106">
        <v>-34790</v>
      </c>
      <c r="Q14" s="107">
        <f t="shared" si="17"/>
        <v>221863</v>
      </c>
      <c r="R14" s="106">
        <v>254575</v>
      </c>
      <c r="S14" s="106">
        <v>-43489</v>
      </c>
      <c r="T14" s="107">
        <f t="shared" si="18"/>
        <v>211086</v>
      </c>
      <c r="U14" s="106">
        <v>256184</v>
      </c>
      <c r="V14" s="106">
        <v>-49810</v>
      </c>
      <c r="W14" s="107">
        <f t="shared" si="19"/>
        <v>206374</v>
      </c>
      <c r="X14" s="106">
        <v>219587</v>
      </c>
      <c r="Y14" s="106">
        <v>-31321</v>
      </c>
      <c r="Z14" s="107">
        <f t="shared" si="20"/>
        <v>188266</v>
      </c>
      <c r="AA14" s="106">
        <v>223539</v>
      </c>
      <c r="AB14" s="106">
        <v>-36309</v>
      </c>
      <c r="AC14" s="107">
        <f t="shared" si="21"/>
        <v>187230</v>
      </c>
      <c r="AD14" s="106">
        <v>213818</v>
      </c>
      <c r="AE14" s="106">
        <v>-38779</v>
      </c>
      <c r="AF14" s="107">
        <f t="shared" si="22"/>
        <v>175039</v>
      </c>
      <c r="AG14" s="106">
        <v>212557</v>
      </c>
      <c r="AH14" s="106">
        <v>-43382</v>
      </c>
      <c r="AI14" s="107">
        <f t="shared" si="23"/>
        <v>169175</v>
      </c>
      <c r="AJ14" s="106">
        <v>213303</v>
      </c>
      <c r="AK14" s="106">
        <v>-47255</v>
      </c>
      <c r="AL14" s="107">
        <f t="shared" si="24"/>
        <v>166048</v>
      </c>
      <c r="AM14" s="106">
        <v>191257</v>
      </c>
      <c r="AN14" s="106">
        <v>-26938</v>
      </c>
      <c r="AO14" s="107">
        <f t="shared" si="25"/>
        <v>164319</v>
      </c>
    </row>
    <row r="15" spans="1:41">
      <c r="A15" s="102" t="s">
        <v>344</v>
      </c>
      <c r="B15" s="103" t="s">
        <v>172</v>
      </c>
      <c r="C15" s="104">
        <f t="shared" ref="C15:D15" si="39">C5+C10</f>
        <v>55724081</v>
      </c>
      <c r="D15" s="104">
        <f t="shared" si="39"/>
        <v>-4398080</v>
      </c>
      <c r="E15" s="104">
        <f t="shared" si="13"/>
        <v>51326001</v>
      </c>
      <c r="F15" s="104">
        <f t="shared" ref="F15:G15" si="40">F5+F10</f>
        <v>56878770</v>
      </c>
      <c r="G15" s="104">
        <f t="shared" si="40"/>
        <v>-4445024</v>
      </c>
      <c r="H15" s="104">
        <f t="shared" si="14"/>
        <v>52433746</v>
      </c>
      <c r="I15" s="104">
        <f t="shared" ref="I15:J15" si="41">I5+I10</f>
        <v>57915404</v>
      </c>
      <c r="J15" s="104">
        <f t="shared" si="41"/>
        <v>-4654752</v>
      </c>
      <c r="K15" s="104">
        <f t="shared" si="15"/>
        <v>53260652</v>
      </c>
      <c r="L15" s="104">
        <f t="shared" ref="L15:M15" si="42">L5+L10</f>
        <v>58896331</v>
      </c>
      <c r="M15" s="104">
        <f t="shared" si="42"/>
        <v>-4671485</v>
      </c>
      <c r="N15" s="104">
        <f t="shared" si="16"/>
        <v>54224846</v>
      </c>
      <c r="O15" s="104">
        <f t="shared" ref="O15:P15" si="43">O5+O10</f>
        <v>60278795</v>
      </c>
      <c r="P15" s="104">
        <f t="shared" si="43"/>
        <v>-4885031</v>
      </c>
      <c r="Q15" s="104">
        <f t="shared" si="17"/>
        <v>55393764</v>
      </c>
      <c r="R15" s="104">
        <f t="shared" ref="R15:S15" si="44">R5+R10</f>
        <v>62000595</v>
      </c>
      <c r="S15" s="104">
        <f t="shared" si="44"/>
        <v>-5336281</v>
      </c>
      <c r="T15" s="104">
        <f t="shared" si="18"/>
        <v>56664314</v>
      </c>
      <c r="U15" s="104">
        <f t="shared" ref="U15:V15" si="45">U5+U10</f>
        <v>62159480</v>
      </c>
      <c r="V15" s="104">
        <f t="shared" si="45"/>
        <v>-5474996</v>
      </c>
      <c r="W15" s="104">
        <f t="shared" si="19"/>
        <v>56684484</v>
      </c>
      <c r="X15" s="104">
        <f t="shared" ref="X15:Y15" si="46">X5+X10</f>
        <v>61293527</v>
      </c>
      <c r="Y15" s="104">
        <f t="shared" si="46"/>
        <v>-5449005</v>
      </c>
      <c r="Z15" s="104">
        <f t="shared" si="20"/>
        <v>55844522</v>
      </c>
      <c r="AA15" s="104">
        <f t="shared" ref="AA15:AB15" si="47">AA5+AA10</f>
        <v>62198379</v>
      </c>
      <c r="AB15" s="104">
        <f t="shared" si="47"/>
        <v>-5680253</v>
      </c>
      <c r="AC15" s="104">
        <f t="shared" si="21"/>
        <v>56518126</v>
      </c>
      <c r="AD15" s="104">
        <f t="shared" ref="AD15:AE15" si="48">AD5+AD10</f>
        <v>61710466</v>
      </c>
      <c r="AE15" s="104">
        <f t="shared" si="48"/>
        <v>-6006986</v>
      </c>
      <c r="AF15" s="104">
        <f t="shared" si="22"/>
        <v>55703480</v>
      </c>
      <c r="AG15" s="104">
        <f t="shared" ref="AG15:AH15" si="49">AG5+AG10</f>
        <v>62345599</v>
      </c>
      <c r="AH15" s="104">
        <f t="shared" si="49"/>
        <v>-6349715</v>
      </c>
      <c r="AI15" s="104">
        <f t="shared" si="23"/>
        <v>55995884</v>
      </c>
      <c r="AJ15" s="104">
        <f t="shared" ref="AJ15:AK15" si="50">AJ5+AJ10</f>
        <v>62461943</v>
      </c>
      <c r="AK15" s="104">
        <f t="shared" si="50"/>
        <v>-6246521</v>
      </c>
      <c r="AL15" s="104">
        <f t="shared" si="24"/>
        <v>56215422</v>
      </c>
      <c r="AM15" s="104">
        <f t="shared" ref="AM15:AN15" si="51">AM5+AM10</f>
        <v>62055461</v>
      </c>
      <c r="AN15" s="104">
        <f t="shared" si="51"/>
        <v>-5782852</v>
      </c>
      <c r="AO15" s="104">
        <f t="shared" si="25"/>
        <v>56272609</v>
      </c>
    </row>
    <row r="16" spans="1:41">
      <c r="E16" s="1"/>
      <c r="H16" s="1"/>
      <c r="K16" s="1"/>
      <c r="N16" s="1"/>
      <c r="Q16" s="1"/>
      <c r="T16" s="1"/>
      <c r="W16" s="1"/>
      <c r="Z16" s="1"/>
      <c r="AC16" s="1"/>
      <c r="AF16" s="1"/>
      <c r="AI16" s="1"/>
      <c r="AL16" s="1"/>
    </row>
    <row r="17" spans="3:38">
      <c r="E17" s="108"/>
      <c r="H17" s="108"/>
      <c r="K17" s="108"/>
      <c r="N17" s="108"/>
      <c r="Q17" s="108"/>
      <c r="T17" s="108"/>
      <c r="W17" s="108"/>
      <c r="Z17" s="108"/>
      <c r="AC17" s="108"/>
      <c r="AF17" s="108"/>
      <c r="AI17" s="108"/>
      <c r="AL17" s="108"/>
    </row>
    <row r="18" spans="3:38">
      <c r="C18" s="1"/>
      <c r="E18" s="1"/>
      <c r="F18" s="1"/>
      <c r="H18" s="1"/>
      <c r="I18" s="1"/>
      <c r="K18" s="1"/>
      <c r="L18" s="1"/>
      <c r="N18" s="1"/>
      <c r="O18" s="1"/>
      <c r="Q18" s="1"/>
      <c r="R18" s="1"/>
      <c r="T18" s="1"/>
      <c r="U18" s="1"/>
      <c r="W18" s="1"/>
      <c r="X18" s="1"/>
      <c r="Z18" s="1"/>
      <c r="AA18" s="1"/>
      <c r="AC18" s="1"/>
      <c r="AD18" s="1"/>
      <c r="AF18" s="1"/>
      <c r="AG18" s="1"/>
      <c r="AI18" s="1"/>
      <c r="AJ18" s="1"/>
      <c r="AL18" s="1"/>
    </row>
    <row r="19" spans="3:38">
      <c r="E19" s="1"/>
      <c r="H19" s="1"/>
      <c r="K19" s="1"/>
      <c r="N19" s="1"/>
      <c r="Q19" s="1"/>
      <c r="T19" s="1"/>
      <c r="W19" s="1"/>
      <c r="Z19" s="1"/>
      <c r="AC19" s="1"/>
      <c r="AF19" s="1"/>
      <c r="AI19" s="1"/>
      <c r="AL19" s="1"/>
    </row>
    <row r="20" spans="3:38">
      <c r="C20" s="1"/>
      <c r="E20" s="1"/>
      <c r="F20" s="1"/>
      <c r="H20" s="1"/>
      <c r="I20" s="1"/>
      <c r="K20" s="1"/>
      <c r="L20" s="1"/>
      <c r="N20" s="1"/>
      <c r="O20" s="1"/>
      <c r="Q20" s="1"/>
      <c r="R20" s="1"/>
      <c r="T20" s="1"/>
      <c r="U20" s="1"/>
      <c r="W20" s="1"/>
      <c r="X20" s="1"/>
      <c r="Z20" s="1"/>
      <c r="AA20" s="1"/>
      <c r="AC20" s="1"/>
      <c r="AD20" s="1"/>
      <c r="AF20" s="1"/>
      <c r="AG20" s="1"/>
      <c r="AI20" s="1"/>
      <c r="AJ20" s="1"/>
      <c r="AL20" s="1"/>
    </row>
    <row r="21" spans="3:38">
      <c r="C21" s="1"/>
      <c r="E21" s="1"/>
      <c r="F21" s="1"/>
      <c r="H21" s="1"/>
      <c r="I21" s="1"/>
      <c r="K21" s="1"/>
      <c r="L21" s="1"/>
      <c r="N21" s="1"/>
      <c r="O21" s="1"/>
      <c r="Q21" s="1"/>
      <c r="R21" s="1"/>
      <c r="T21" s="1"/>
      <c r="U21" s="1"/>
      <c r="W21" s="1"/>
      <c r="X21" s="1"/>
      <c r="Z21" s="1"/>
      <c r="AA21" s="1"/>
      <c r="AC21" s="1"/>
      <c r="AD21" s="1"/>
      <c r="AF21" s="1"/>
      <c r="AG21" s="1"/>
      <c r="AI21" s="1"/>
      <c r="AJ21" s="1"/>
      <c r="AL21" s="1"/>
    </row>
    <row r="22" spans="3:38"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</row>
    <row r="23" spans="3:38">
      <c r="C23" s="1"/>
      <c r="F23" s="1"/>
      <c r="I23" s="1"/>
      <c r="L23" s="1"/>
      <c r="O23" s="1"/>
      <c r="R23" s="1"/>
      <c r="U23" s="1"/>
      <c r="X23" s="1"/>
      <c r="AA23" s="1"/>
      <c r="AD23" s="1"/>
      <c r="AG23" s="1"/>
      <c r="AJ23" s="1"/>
    </row>
    <row r="24" spans="3:38">
      <c r="C24" s="1"/>
      <c r="F24" s="1"/>
      <c r="I24" s="1"/>
      <c r="L24" s="1"/>
      <c r="O24" s="1"/>
      <c r="R24" s="1"/>
      <c r="U24" s="1"/>
      <c r="X24" s="1"/>
      <c r="AA24" s="1"/>
      <c r="AD24" s="1"/>
      <c r="AG24" s="1"/>
      <c r="AJ24" s="1"/>
    </row>
    <row r="25" spans="3:38">
      <c r="C25" s="1"/>
      <c r="F25" s="1"/>
      <c r="I25" s="1"/>
      <c r="L25" s="1"/>
      <c r="O25" s="1"/>
      <c r="R25" s="1"/>
      <c r="U25" s="1"/>
      <c r="X25" s="1"/>
      <c r="AA25" s="1"/>
      <c r="AD25" s="1"/>
      <c r="AG25" s="1"/>
      <c r="AJ25" s="1"/>
    </row>
    <row r="26" spans="3:38"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</row>
    <row r="27" spans="3:38">
      <c r="C27" s="1"/>
      <c r="F27" s="1"/>
      <c r="I27" s="1"/>
      <c r="L27" s="1"/>
      <c r="O27" s="1"/>
      <c r="R27" s="1"/>
      <c r="U27" s="1"/>
      <c r="X27" s="1"/>
      <c r="AA27" s="1"/>
      <c r="AD27" s="1"/>
      <c r="AG27" s="1"/>
      <c r="AJ27" s="1"/>
    </row>
  </sheetData>
  <mergeCells count="13">
    <mergeCell ref="AM2:AO2"/>
    <mergeCell ref="AJ2:AL2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D2:AF2"/>
    <mergeCell ref="AG2:AI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C15"/>
  <sheetViews>
    <sheetView zoomScale="90" zoomScaleNormal="90" workbookViewId="0">
      <pane xSplit="2" ySplit="2" topLeftCell="Y3" activePane="bottomRight" state="frozen"/>
      <selection pane="topRight" activeCell="C1" sqref="C1"/>
      <selection pane="bottomLeft" activeCell="A3" sqref="A3"/>
      <selection pane="bottomRight"/>
    </sheetView>
  </sheetViews>
  <sheetFormatPr defaultColWidth="9.28515625" defaultRowHeight="9.6"/>
  <cols>
    <col min="1" max="1" width="27.7109375" style="6" customWidth="1"/>
    <col min="2" max="2" width="43.42578125" style="6" customWidth="1"/>
    <col min="3" max="24" width="12.140625" style="6" customWidth="1"/>
    <col min="25" max="26" width="15.42578125" style="6" customWidth="1"/>
    <col min="27" max="27" width="21.85546875" style="6" customWidth="1"/>
    <col min="28" max="16384" width="9.28515625" style="6"/>
  </cols>
  <sheetData>
    <row r="1" spans="1:29" ht="10.199999999999999" thickBot="1"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9" ht="19.8" thickBot="1">
      <c r="A2" s="6" t="s">
        <v>351</v>
      </c>
      <c r="B2" s="5" t="s">
        <v>173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</row>
    <row r="3" spans="1:29">
      <c r="A3" s="6" t="s">
        <v>336</v>
      </c>
      <c r="B3" s="33" t="s">
        <v>164</v>
      </c>
      <c r="C3" s="65">
        <f t="shared" ref="C3:S3" si="0">SUM(C4:C8)</f>
        <v>18602544</v>
      </c>
      <c r="D3" s="65">
        <f t="shared" si="0"/>
        <v>18958037</v>
      </c>
      <c r="E3" s="65">
        <f t="shared" si="0"/>
        <v>20313847</v>
      </c>
      <c r="F3" s="65">
        <f t="shared" si="0"/>
        <v>21409075</v>
      </c>
      <c r="G3" s="65">
        <f t="shared" si="0"/>
        <v>23293384.226353612</v>
      </c>
      <c r="H3" s="65">
        <f t="shared" si="0"/>
        <v>24557685</v>
      </c>
      <c r="I3" s="65">
        <f t="shared" si="0"/>
        <v>23926333</v>
      </c>
      <c r="J3" s="65">
        <f t="shared" si="0"/>
        <v>32035389</v>
      </c>
      <c r="K3" s="65">
        <f t="shared" si="0"/>
        <v>32216158</v>
      </c>
      <c r="L3" s="65">
        <f t="shared" si="0"/>
        <v>31817376</v>
      </c>
      <c r="M3" s="65">
        <f t="shared" si="0"/>
        <v>33641692</v>
      </c>
      <c r="N3" s="65">
        <f t="shared" si="0"/>
        <v>36572276</v>
      </c>
      <c r="O3" s="65">
        <f t="shared" si="0"/>
        <v>38203834</v>
      </c>
      <c r="P3" s="65">
        <f t="shared" si="0"/>
        <v>39265678</v>
      </c>
      <c r="Q3" s="65">
        <f t="shared" si="0"/>
        <v>40942402</v>
      </c>
      <c r="R3" s="65">
        <f t="shared" si="0"/>
        <v>43944874</v>
      </c>
      <c r="S3" s="65">
        <f t="shared" si="0"/>
        <v>45124679</v>
      </c>
      <c r="T3" s="65">
        <f t="shared" ref="T3:Y3" si="1">SUM(T4:T8)</f>
        <v>45421557</v>
      </c>
      <c r="U3" s="65">
        <f t="shared" si="1"/>
        <v>46641689</v>
      </c>
      <c r="V3" s="65">
        <f t="shared" si="1"/>
        <v>46603066</v>
      </c>
      <c r="W3" s="65">
        <f t="shared" si="1"/>
        <v>47261859</v>
      </c>
      <c r="X3" s="65">
        <f t="shared" si="1"/>
        <v>46451100</v>
      </c>
      <c r="Y3" s="65">
        <f t="shared" si="1"/>
        <v>45600476</v>
      </c>
      <c r="Z3" s="97">
        <f t="shared" ref="Z3:AA3" si="2">SUM(Z4:Z8)</f>
        <v>45702199</v>
      </c>
      <c r="AA3" s="97">
        <f t="shared" si="2"/>
        <v>46903018</v>
      </c>
      <c r="AC3" s="17"/>
    </row>
    <row r="4" spans="1:29">
      <c r="A4" s="6" t="s">
        <v>346</v>
      </c>
      <c r="B4" s="35" t="s">
        <v>174</v>
      </c>
      <c r="C4" s="66">
        <v>8191850</v>
      </c>
      <c r="D4" s="66">
        <v>8260354</v>
      </c>
      <c r="E4" s="66">
        <v>8326825</v>
      </c>
      <c r="F4" s="66">
        <v>8485256</v>
      </c>
      <c r="G4" s="66">
        <v>8999422.0133926105</v>
      </c>
      <c r="H4" s="66">
        <v>9895455</v>
      </c>
      <c r="I4" s="66">
        <v>10868443</v>
      </c>
      <c r="J4" s="66">
        <v>17264837</v>
      </c>
      <c r="K4" s="66">
        <v>18189512</v>
      </c>
      <c r="L4" s="66">
        <v>19024759</v>
      </c>
      <c r="M4" s="66">
        <v>20181856</v>
      </c>
      <c r="N4" s="66">
        <v>22584687</v>
      </c>
      <c r="O4" s="66">
        <v>23415405</v>
      </c>
      <c r="P4" s="66">
        <v>25148810</v>
      </c>
      <c r="Q4" s="66">
        <v>26864801</v>
      </c>
      <c r="R4" s="66">
        <v>28546686</v>
      </c>
      <c r="S4" s="66">
        <v>29142048</v>
      </c>
      <c r="T4" s="66">
        <v>29051784</v>
      </c>
      <c r="U4" s="66">
        <v>30327179</v>
      </c>
      <c r="V4" s="66">
        <v>30700187</v>
      </c>
      <c r="W4" s="66">
        <v>32402580</v>
      </c>
      <c r="X4" s="66">
        <v>33918564</v>
      </c>
      <c r="Y4" s="66">
        <v>35556633</v>
      </c>
      <c r="Z4" s="15">
        <v>37173915</v>
      </c>
      <c r="AA4" s="15">
        <v>38781717</v>
      </c>
      <c r="AC4" s="17"/>
    </row>
    <row r="5" spans="1:29">
      <c r="A5" s="6" t="s">
        <v>347</v>
      </c>
      <c r="B5" s="35" t="s">
        <v>175</v>
      </c>
      <c r="C5" s="66">
        <v>9996333</v>
      </c>
      <c r="D5" s="66">
        <v>10366322</v>
      </c>
      <c r="E5" s="66">
        <v>11669398</v>
      </c>
      <c r="F5" s="66">
        <v>12666033</v>
      </c>
      <c r="G5" s="66">
        <v>14023331.1339202</v>
      </c>
      <c r="H5" s="66">
        <v>14356779</v>
      </c>
      <c r="I5" s="66">
        <v>12599010</v>
      </c>
      <c r="J5" s="66">
        <v>13908933</v>
      </c>
      <c r="K5" s="66">
        <v>12919108</v>
      </c>
      <c r="L5" s="66">
        <v>11592577</v>
      </c>
      <c r="M5" s="66">
        <v>11948221</v>
      </c>
      <c r="N5" s="66">
        <v>12134722</v>
      </c>
      <c r="O5" s="66">
        <v>12640201</v>
      </c>
      <c r="P5" s="66">
        <v>11685081</v>
      </c>
      <c r="Q5" s="66">
        <v>11550259</v>
      </c>
      <c r="R5" s="66">
        <v>12777384</v>
      </c>
      <c r="S5" s="66">
        <v>13358433</v>
      </c>
      <c r="T5" s="66">
        <v>13555123</v>
      </c>
      <c r="U5" s="66">
        <v>13453463</v>
      </c>
      <c r="V5" s="66">
        <v>13333981</v>
      </c>
      <c r="W5" s="66">
        <v>12419062</v>
      </c>
      <c r="X5" s="66">
        <v>10241458</v>
      </c>
      <c r="Y5" s="66">
        <v>8205114</v>
      </c>
      <c r="Z5" s="15">
        <v>7222055</v>
      </c>
      <c r="AA5" s="15">
        <v>6851821</v>
      </c>
      <c r="AC5" s="17"/>
    </row>
    <row r="6" spans="1:29">
      <c r="A6" s="6" t="s">
        <v>348</v>
      </c>
      <c r="B6" s="35" t="s">
        <v>176</v>
      </c>
      <c r="C6" s="66">
        <v>154229</v>
      </c>
      <c r="D6" s="66">
        <v>148347</v>
      </c>
      <c r="E6" s="66">
        <v>136421</v>
      </c>
      <c r="F6" s="66">
        <v>54280</v>
      </c>
      <c r="G6" s="66">
        <v>64252.117758199995</v>
      </c>
      <c r="H6" s="66">
        <v>83652</v>
      </c>
      <c r="I6" s="66">
        <v>270497</v>
      </c>
      <c r="J6" s="66">
        <v>628246</v>
      </c>
      <c r="K6" s="66">
        <f>893242</f>
        <v>893242</v>
      </c>
      <c r="L6" s="66">
        <v>1046922</v>
      </c>
      <c r="M6" s="66">
        <v>1269662</v>
      </c>
      <c r="N6" s="66">
        <v>1615605</v>
      </c>
      <c r="O6" s="66">
        <f>1838750+49609</f>
        <v>1888359</v>
      </c>
      <c r="P6" s="66">
        <v>2156665</v>
      </c>
      <c r="Q6" s="66">
        <v>2269996</v>
      </c>
      <c r="R6" s="66">
        <v>2380331</v>
      </c>
      <c r="S6" s="66">
        <v>2352307</v>
      </c>
      <c r="T6" s="66">
        <v>2549192</v>
      </c>
      <c r="U6" s="66">
        <v>2599935</v>
      </c>
      <c r="V6" s="66">
        <v>2318064</v>
      </c>
      <c r="W6" s="66">
        <v>2191868</v>
      </c>
      <c r="X6" s="66">
        <v>2009829</v>
      </c>
      <c r="Y6" s="66">
        <v>1628737</v>
      </c>
      <c r="Z6" s="15">
        <v>1085210</v>
      </c>
      <c r="AA6" s="15">
        <v>1039805</v>
      </c>
      <c r="AC6" s="17"/>
    </row>
    <row r="7" spans="1:29">
      <c r="A7" s="6" t="s">
        <v>349</v>
      </c>
      <c r="B7" s="35" t="s">
        <v>177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80888</v>
      </c>
      <c r="N7" s="66">
        <v>81500</v>
      </c>
      <c r="O7" s="66">
        <v>80872</v>
      </c>
      <c r="P7" s="66">
        <v>81476</v>
      </c>
      <c r="Q7" s="66">
        <v>80880</v>
      </c>
      <c r="R7" s="66">
        <v>81484</v>
      </c>
      <c r="S7" s="66">
        <v>80872</v>
      </c>
      <c r="T7" s="66">
        <v>81468</v>
      </c>
      <c r="U7" s="66">
        <v>80888</v>
      </c>
      <c r="V7" s="66">
        <v>81492</v>
      </c>
      <c r="W7" s="66">
        <v>80880</v>
      </c>
      <c r="X7" s="66">
        <v>81476</v>
      </c>
      <c r="Y7" s="66">
        <v>0</v>
      </c>
      <c r="Z7" s="15">
        <v>0</v>
      </c>
      <c r="AA7" s="15">
        <v>0</v>
      </c>
      <c r="AC7" s="17"/>
    </row>
    <row r="8" spans="1:29">
      <c r="A8" s="6" t="s">
        <v>207</v>
      </c>
      <c r="B8" s="35" t="s">
        <v>50</v>
      </c>
      <c r="C8" s="66">
        <v>260132</v>
      </c>
      <c r="D8" s="66">
        <v>183014</v>
      </c>
      <c r="E8" s="66">
        <v>181203</v>
      </c>
      <c r="F8" s="66">
        <v>203506</v>
      </c>
      <c r="G8" s="66">
        <v>206378.96128259998</v>
      </c>
      <c r="H8" s="66">
        <v>221799</v>
      </c>
      <c r="I8" s="66">
        <v>188383</v>
      </c>
      <c r="J8" s="66">
        <v>233373</v>
      </c>
      <c r="K8" s="66">
        <v>214296</v>
      </c>
      <c r="L8" s="66">
        <v>153118</v>
      </c>
      <c r="M8" s="66">
        <v>161065</v>
      </c>
      <c r="N8" s="66">
        <v>155762</v>
      </c>
      <c r="O8" s="66">
        <v>178997</v>
      </c>
      <c r="P8" s="66">
        <v>193646</v>
      </c>
      <c r="Q8" s="66">
        <v>176466</v>
      </c>
      <c r="R8" s="66">
        <v>158989</v>
      </c>
      <c r="S8" s="66">
        <v>191019</v>
      </c>
      <c r="T8" s="66">
        <v>183990</v>
      </c>
      <c r="U8" s="66">
        <v>180224</v>
      </c>
      <c r="V8" s="66">
        <v>169342</v>
      </c>
      <c r="W8" s="66">
        <v>167469</v>
      </c>
      <c r="X8" s="66">
        <v>199773</v>
      </c>
      <c r="Y8" s="66">
        <v>209992</v>
      </c>
      <c r="Z8" s="15">
        <v>221019</v>
      </c>
      <c r="AA8" s="15">
        <v>229675</v>
      </c>
      <c r="AC8" s="17"/>
    </row>
    <row r="9" spans="1:29">
      <c r="A9" s="6" t="s">
        <v>340</v>
      </c>
      <c r="B9" s="33" t="s">
        <v>168</v>
      </c>
      <c r="C9" s="65">
        <f t="shared" ref="C9:S9" si="3">SUM(C10:C14)</f>
        <v>9197307</v>
      </c>
      <c r="D9" s="65">
        <f t="shared" si="3"/>
        <v>10816580</v>
      </c>
      <c r="E9" s="65">
        <f t="shared" si="3"/>
        <v>11116769</v>
      </c>
      <c r="F9" s="65">
        <f t="shared" si="3"/>
        <v>12254467</v>
      </c>
      <c r="G9" s="65">
        <f t="shared" si="3"/>
        <v>12508856.6716509</v>
      </c>
      <c r="H9" s="65">
        <f t="shared" si="3"/>
        <v>13432244</v>
      </c>
      <c r="I9" s="65">
        <f t="shared" si="3"/>
        <v>13505895</v>
      </c>
      <c r="J9" s="65">
        <f t="shared" si="3"/>
        <v>19333312</v>
      </c>
      <c r="K9" s="65">
        <f>SUM(K10:K14)</f>
        <v>18324394</v>
      </c>
      <c r="L9" s="65">
        <f t="shared" si="3"/>
        <v>19903194</v>
      </c>
      <c r="M9" s="65">
        <f t="shared" si="3"/>
        <v>21128825</v>
      </c>
      <c r="N9" s="65">
        <f t="shared" si="3"/>
        <v>21084743</v>
      </c>
      <c r="O9" s="65">
        <f t="shared" si="3"/>
        <v>20870735</v>
      </c>
      <c r="P9" s="65">
        <f t="shared" si="3"/>
        <v>20379496</v>
      </c>
      <c r="Q9" s="65">
        <f t="shared" si="3"/>
        <v>19156394</v>
      </c>
      <c r="R9" s="65">
        <f t="shared" si="3"/>
        <v>18490711</v>
      </c>
      <c r="S9" s="65">
        <f t="shared" si="3"/>
        <v>17201884</v>
      </c>
      <c r="T9" s="65">
        <f t="shared" ref="T9:Y9" si="4">SUM(T10:T14)</f>
        <v>19464288</v>
      </c>
      <c r="U9" s="65">
        <f t="shared" si="4"/>
        <v>18097732</v>
      </c>
      <c r="V9" s="65">
        <f t="shared" si="4"/>
        <v>18396193</v>
      </c>
      <c r="W9" s="65">
        <f t="shared" si="4"/>
        <v>17334157</v>
      </c>
      <c r="X9" s="65">
        <f t="shared" si="4"/>
        <v>19414341</v>
      </c>
      <c r="Y9" s="65">
        <f t="shared" si="4"/>
        <v>20267657</v>
      </c>
      <c r="Z9" s="97">
        <f t="shared" ref="Z9:AA9" si="5">SUM(Z10:Z14)</f>
        <v>21173708</v>
      </c>
      <c r="AA9" s="97">
        <f t="shared" si="5"/>
        <v>21718698</v>
      </c>
      <c r="AC9" s="17"/>
    </row>
    <row r="10" spans="1:29">
      <c r="A10" s="6" t="s">
        <v>346</v>
      </c>
      <c r="B10" s="35" t="s">
        <v>174</v>
      </c>
      <c r="C10" s="66">
        <v>2963162</v>
      </c>
      <c r="D10" s="66">
        <v>3257779</v>
      </c>
      <c r="E10" s="66">
        <v>3471940</v>
      </c>
      <c r="F10" s="66">
        <v>3991011</v>
      </c>
      <c r="G10" s="66">
        <v>3689574.0824199999</v>
      </c>
      <c r="H10" s="66">
        <v>4056452</v>
      </c>
      <c r="I10" s="66">
        <v>4442094</v>
      </c>
      <c r="J10" s="66">
        <v>8526252</v>
      </c>
      <c r="K10" s="66">
        <v>8250297</v>
      </c>
      <c r="L10" s="66">
        <v>8368459</v>
      </c>
      <c r="M10" s="66">
        <v>8489445</v>
      </c>
      <c r="N10" s="66">
        <v>9495558</v>
      </c>
      <c r="O10" s="66">
        <v>8591274</v>
      </c>
      <c r="P10" s="66">
        <v>8862256</v>
      </c>
      <c r="Q10" s="66">
        <v>9196028</v>
      </c>
      <c r="R10" s="66">
        <v>10130389</v>
      </c>
      <c r="S10" s="66">
        <v>9136707</v>
      </c>
      <c r="T10" s="66">
        <v>9886026</v>
      </c>
      <c r="U10" s="66">
        <v>9795180</v>
      </c>
      <c r="V10" s="66">
        <v>11153883</v>
      </c>
      <c r="W10" s="66">
        <v>11080166</v>
      </c>
      <c r="X10" s="66">
        <v>14248987</v>
      </c>
      <c r="Y10" s="66">
        <v>14919497</v>
      </c>
      <c r="Z10" s="15">
        <v>16424096</v>
      </c>
      <c r="AA10" s="15">
        <v>16944259</v>
      </c>
      <c r="AC10" s="17"/>
    </row>
    <row r="11" spans="1:29">
      <c r="A11" s="6" t="s">
        <v>347</v>
      </c>
      <c r="B11" s="35" t="s">
        <v>175</v>
      </c>
      <c r="C11" s="66">
        <v>4400797</v>
      </c>
      <c r="D11" s="66">
        <v>5372612</v>
      </c>
      <c r="E11" s="66">
        <v>5310082</v>
      </c>
      <c r="F11" s="66">
        <v>5869683</v>
      </c>
      <c r="G11" s="66">
        <v>6363671.3399107</v>
      </c>
      <c r="H11" s="66">
        <v>6975188</v>
      </c>
      <c r="I11" s="66">
        <v>6657716</v>
      </c>
      <c r="J11" s="66">
        <v>8379289</v>
      </c>
      <c r="K11" s="66">
        <v>7894824</v>
      </c>
      <c r="L11" s="66">
        <v>9612896</v>
      </c>
      <c r="M11" s="66">
        <v>10539333</v>
      </c>
      <c r="N11" s="66">
        <v>9740352</v>
      </c>
      <c r="O11" s="66">
        <v>10689313</v>
      </c>
      <c r="P11" s="66">
        <v>10172248</v>
      </c>
      <c r="Q11" s="66">
        <v>8914238</v>
      </c>
      <c r="R11" s="66">
        <v>7489126</v>
      </c>
      <c r="S11" s="66">
        <v>7326379</v>
      </c>
      <c r="T11" s="66">
        <v>9041361</v>
      </c>
      <c r="U11" s="66">
        <v>7890368</v>
      </c>
      <c r="V11" s="66">
        <v>6854745</v>
      </c>
      <c r="W11" s="66">
        <v>5815928</v>
      </c>
      <c r="X11" s="66">
        <v>4692396</v>
      </c>
      <c r="Y11" s="66">
        <v>4076001</v>
      </c>
      <c r="Z11" s="15">
        <v>4336147</v>
      </c>
      <c r="AA11" s="15">
        <v>4039460</v>
      </c>
      <c r="AC11" s="17"/>
    </row>
    <row r="12" spans="1:29">
      <c r="A12" s="6" t="s">
        <v>348</v>
      </c>
      <c r="B12" s="35" t="s">
        <v>176</v>
      </c>
      <c r="C12" s="66">
        <v>1704367</v>
      </c>
      <c r="D12" s="66">
        <v>2031085</v>
      </c>
      <c r="E12" s="66">
        <v>2134494</v>
      </c>
      <c r="F12" s="66">
        <v>2204950</v>
      </c>
      <c r="G12" s="66">
        <v>2284479.2493202002</v>
      </c>
      <c r="H12" s="66">
        <v>2254446</v>
      </c>
      <c r="I12" s="66">
        <v>2295059</v>
      </c>
      <c r="J12" s="66">
        <v>1910380</v>
      </c>
      <c r="K12" s="66">
        <f>1907874+23658-231748</f>
        <v>1699784</v>
      </c>
      <c r="L12" s="66">
        <f>1651242+32046</f>
        <v>1683288</v>
      </c>
      <c r="M12" s="66">
        <f>1641930+38987</f>
        <v>1680917</v>
      </c>
      <c r="N12" s="66">
        <v>1455323</v>
      </c>
      <c r="O12" s="66">
        <f>1200814+1271</f>
        <v>1202085</v>
      </c>
      <c r="P12" s="66">
        <v>876672</v>
      </c>
      <c r="Q12" s="66">
        <v>637058</v>
      </c>
      <c r="R12" s="66">
        <v>429148</v>
      </c>
      <c r="S12" s="66">
        <v>284089</v>
      </c>
      <c r="T12" s="66">
        <v>82543</v>
      </c>
      <c r="U12" s="66">
        <v>36026</v>
      </c>
      <c r="V12" s="66">
        <v>17773</v>
      </c>
      <c r="W12" s="66">
        <v>10312</v>
      </c>
      <c r="X12" s="66">
        <v>10239</v>
      </c>
      <c r="Y12" s="66">
        <v>6986</v>
      </c>
      <c r="Z12" s="15">
        <v>2450</v>
      </c>
      <c r="AA12" s="15">
        <v>2552</v>
      </c>
      <c r="AC12" s="17"/>
    </row>
    <row r="13" spans="1:29">
      <c r="A13" s="6" t="s">
        <v>349</v>
      </c>
      <c r="B13" s="35" t="s">
        <v>177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230046</v>
      </c>
      <c r="K13" s="66">
        <v>231748</v>
      </c>
      <c r="L13" s="66">
        <v>0</v>
      </c>
      <c r="M13" s="66">
        <v>147567</v>
      </c>
      <c r="N13" s="66">
        <v>148684</v>
      </c>
      <c r="O13" s="66">
        <v>147538</v>
      </c>
      <c r="P13" s="66">
        <v>148640</v>
      </c>
      <c r="Q13" s="66">
        <v>147553</v>
      </c>
      <c r="R13" s="66">
        <v>163883</v>
      </c>
      <c r="S13" s="66">
        <v>162847</v>
      </c>
      <c r="T13" s="66">
        <v>164016</v>
      </c>
      <c r="U13" s="66">
        <v>147567</v>
      </c>
      <c r="V13" s="66">
        <v>148669</v>
      </c>
      <c r="W13" s="66">
        <v>147553</v>
      </c>
      <c r="X13" s="66">
        <v>148640</v>
      </c>
      <c r="Y13" s="66">
        <v>0</v>
      </c>
      <c r="Z13" s="15">
        <v>0</v>
      </c>
      <c r="AA13" s="15">
        <v>0</v>
      </c>
      <c r="AC13" s="17"/>
    </row>
    <row r="14" spans="1:29">
      <c r="A14" s="6" t="s">
        <v>207</v>
      </c>
      <c r="B14" s="35" t="s">
        <v>50</v>
      </c>
      <c r="C14" s="66">
        <v>128981</v>
      </c>
      <c r="D14" s="66">
        <v>155104</v>
      </c>
      <c r="E14" s="66">
        <v>200253</v>
      </c>
      <c r="F14" s="66">
        <v>188823</v>
      </c>
      <c r="G14" s="66">
        <v>171132</v>
      </c>
      <c r="H14" s="66">
        <v>146158</v>
      </c>
      <c r="I14" s="66">
        <v>111026</v>
      </c>
      <c r="J14" s="66">
        <v>287345</v>
      </c>
      <c r="K14" s="66">
        <v>247741</v>
      </c>
      <c r="L14" s="66">
        <v>238551</v>
      </c>
      <c r="M14" s="66">
        <v>271563</v>
      </c>
      <c r="N14" s="66">
        <v>244826</v>
      </c>
      <c r="O14" s="66">
        <v>240525</v>
      </c>
      <c r="P14" s="66">
        <v>319680</v>
      </c>
      <c r="Q14" s="66">
        <v>261517</v>
      </c>
      <c r="R14" s="66">
        <v>278165</v>
      </c>
      <c r="S14" s="66">
        <v>291862</v>
      </c>
      <c r="T14" s="66">
        <v>290342</v>
      </c>
      <c r="U14" s="66">
        <v>228591</v>
      </c>
      <c r="V14" s="66">
        <v>221123</v>
      </c>
      <c r="W14" s="66">
        <v>280198</v>
      </c>
      <c r="X14" s="66">
        <v>314079</v>
      </c>
      <c r="Y14" s="66">
        <v>1265173</v>
      </c>
      <c r="Z14" s="15">
        <v>411015</v>
      </c>
      <c r="AA14" s="15">
        <v>732427</v>
      </c>
      <c r="AC14" s="17"/>
    </row>
    <row r="15" spans="1:29">
      <c r="A15" s="6" t="s">
        <v>350</v>
      </c>
      <c r="B15" s="67" t="s">
        <v>178</v>
      </c>
      <c r="C15" s="68">
        <f t="shared" ref="C15:R15" si="6">C3+C9</f>
        <v>27799851</v>
      </c>
      <c r="D15" s="68">
        <f t="shared" si="6"/>
        <v>29774617</v>
      </c>
      <c r="E15" s="68">
        <f t="shared" si="6"/>
        <v>31430616</v>
      </c>
      <c r="F15" s="68">
        <f t="shared" si="6"/>
        <v>33663542</v>
      </c>
      <c r="G15" s="68">
        <f t="shared" si="6"/>
        <v>35802240.89800451</v>
      </c>
      <c r="H15" s="68">
        <f t="shared" si="6"/>
        <v>37989929</v>
      </c>
      <c r="I15" s="68">
        <f t="shared" si="6"/>
        <v>37432228</v>
      </c>
      <c r="J15" s="68">
        <f t="shared" si="6"/>
        <v>51368701</v>
      </c>
      <c r="K15" s="68">
        <f t="shared" si="6"/>
        <v>50540552</v>
      </c>
      <c r="L15" s="68">
        <f t="shared" si="6"/>
        <v>51720570</v>
      </c>
      <c r="M15" s="68">
        <f t="shared" si="6"/>
        <v>54770517</v>
      </c>
      <c r="N15" s="68">
        <f t="shared" si="6"/>
        <v>57657019</v>
      </c>
      <c r="O15" s="68">
        <f t="shared" si="6"/>
        <v>59074569</v>
      </c>
      <c r="P15" s="68">
        <f t="shared" si="6"/>
        <v>59645174</v>
      </c>
      <c r="Q15" s="68">
        <f t="shared" si="6"/>
        <v>60098796</v>
      </c>
      <c r="R15" s="68">
        <f t="shared" si="6"/>
        <v>62435585</v>
      </c>
      <c r="S15" s="68">
        <f t="shared" ref="S15:Z15" si="7">S3+S9</f>
        <v>62326563</v>
      </c>
      <c r="T15" s="68">
        <f t="shared" si="7"/>
        <v>64885845</v>
      </c>
      <c r="U15" s="68">
        <f t="shared" si="7"/>
        <v>64739421</v>
      </c>
      <c r="V15" s="68">
        <f t="shared" si="7"/>
        <v>64999259</v>
      </c>
      <c r="W15" s="68">
        <f t="shared" si="7"/>
        <v>64596016</v>
      </c>
      <c r="X15" s="68">
        <f t="shared" si="7"/>
        <v>65865441</v>
      </c>
      <c r="Y15" s="68">
        <f t="shared" si="7"/>
        <v>65868133</v>
      </c>
      <c r="Z15" s="98">
        <f t="shared" si="7"/>
        <v>66875907</v>
      </c>
      <c r="AA15" s="98">
        <f t="shared" ref="AA15" si="8">AA3+AA9</f>
        <v>68621716</v>
      </c>
      <c r="AC15" s="17"/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Anna Czerwonka</cp:lastModifiedBy>
  <dcterms:created xsi:type="dcterms:W3CDTF">2019-08-23T08:06:24Z</dcterms:created>
  <dcterms:modified xsi:type="dcterms:W3CDTF">2021-04-27T20:51:29Z</dcterms:modified>
</cp:coreProperties>
</file>