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RI\4 - Prezentacje\Prezentacje wynikowe\2024_04_25-Prezentacja_1_Q_2024\Dane Finansowe\Plik excell\"/>
    </mc:Choice>
  </mc:AlternateContent>
  <xr:revisionPtr revIDLastSave="0" documentId="13_ncr:1_{A3FD635E-BF59-4FDC-807A-9DBD4B37DA7C}" xr6:coauthVersionLast="47" xr6:coauthVersionMax="47" xr10:uidLastSave="{00000000-0000-0000-0000-000000000000}"/>
  <bookViews>
    <workbookView xWindow="-110" yWindow="-110" windowWidth="19420" windowHeight="10300" tabRatio="827" xr2:uid="{6399D0B0-6B59-47DA-9BB2-31F5C6A81BD9}"/>
  </bookViews>
  <sheets>
    <sheet name="Menu" sheetId="27" r:id="rId1"/>
    <sheet name="Wskaźniki" sheetId="22" r:id="rId2"/>
    <sheet name="Bilans" sheetId="7" r:id="rId3"/>
    <sheet name="RZiS" sheetId="8" r:id="rId4"/>
    <sheet name="Odsetki" sheetId="3" r:id="rId5"/>
    <sheet name="PPiK" sheetId="25" r:id="rId6"/>
    <sheet name="Prowizje" sheetId="4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3" i="3" l="1"/>
  <c r="AI3" i="3"/>
  <c r="AJ3" i="3"/>
  <c r="AK3" i="3"/>
  <c r="AL3" i="3"/>
  <c r="AI31" i="17"/>
  <c r="AB202" i="19" l="1"/>
  <c r="AB132" i="19" l="1"/>
  <c r="AM3" i="25" l="1"/>
  <c r="AM13" i="25"/>
  <c r="AM3" i="3"/>
  <c r="AM37" i="3" s="1"/>
  <c r="AM34" i="3"/>
  <c r="AL42" i="7" l="1"/>
  <c r="AM42" i="7"/>
  <c r="AM52" i="7" s="1"/>
  <c r="AM51" i="7"/>
  <c r="AN34" i="20" l="1"/>
  <c r="AN33" i="20"/>
  <c r="AN19" i="20"/>
  <c r="AN16" i="20"/>
  <c r="AN5" i="20"/>
  <c r="AB163" i="19"/>
  <c r="AB158" i="19"/>
  <c r="AB149" i="19"/>
  <c r="AB145" i="19"/>
  <c r="AB152" i="19" s="1"/>
  <c r="AB164" i="19" s="1"/>
  <c r="AB168" i="19" s="1"/>
  <c r="AB170" i="19" s="1"/>
  <c r="AB172" i="19" s="1"/>
  <c r="AB174" i="19" s="1"/>
  <c r="AB142" i="19"/>
  <c r="AB141" i="19"/>
  <c r="AB140" i="19"/>
  <c r="AB136" i="19"/>
  <c r="AB206" i="19" s="1"/>
  <c r="AB134" i="19"/>
  <c r="AB204" i="19" s="1"/>
  <c r="AB131" i="19"/>
  <c r="AB201" i="19" s="1"/>
  <c r="AB130" i="19"/>
  <c r="AB200" i="19" s="1"/>
  <c r="AB127" i="19"/>
  <c r="AB197" i="19" s="1"/>
  <c r="AB126" i="19"/>
  <c r="AB125" i="19"/>
  <c r="AB195" i="19" s="1"/>
  <c r="AB124" i="19"/>
  <c r="AB194" i="19" s="1"/>
  <c r="AB122" i="19"/>
  <c r="AB192" i="19" s="1"/>
  <c r="AB121" i="19"/>
  <c r="AB191" i="19" s="1"/>
  <c r="AB119" i="19"/>
  <c r="AB189" i="19" s="1"/>
  <c r="AB118" i="19"/>
  <c r="AB116" i="19"/>
  <c r="AB186" i="19" s="1"/>
  <c r="AB115" i="19"/>
  <c r="AB113" i="19"/>
  <c r="AB183" i="19" s="1"/>
  <c r="AB112" i="19"/>
  <c r="AB182" i="19" s="1"/>
  <c r="AB111" i="19"/>
  <c r="AB181" i="19" s="1"/>
  <c r="AB93" i="19"/>
  <c r="AB88" i="19"/>
  <c r="AB85" i="19"/>
  <c r="AB79" i="19"/>
  <c r="AB75" i="19"/>
  <c r="AB58" i="19"/>
  <c r="AB53" i="19"/>
  <c r="AB50" i="19"/>
  <c r="AB44" i="19"/>
  <c r="AB40" i="19"/>
  <c r="AB23" i="19"/>
  <c r="AB18" i="19"/>
  <c r="AB15" i="19"/>
  <c r="AB9" i="19"/>
  <c r="AB5" i="19"/>
  <c r="AM5" i="26"/>
  <c r="AM9" i="15"/>
  <c r="AM3" i="15"/>
  <c r="V37" i="18"/>
  <c r="V36" i="18"/>
  <c r="V35" i="18"/>
  <c r="V34" i="18"/>
  <c r="V32" i="18"/>
  <c r="V31" i="18"/>
  <c r="V30" i="18"/>
  <c r="V29" i="18"/>
  <c r="V21" i="18"/>
  <c r="V16" i="18"/>
  <c r="V9" i="18"/>
  <c r="V4" i="18"/>
  <c r="V14" i="18" s="1"/>
  <c r="AM7" i="16"/>
  <c r="AM3" i="16"/>
  <c r="AM27" i="12"/>
  <c r="AM16" i="12"/>
  <c r="AM13" i="12"/>
  <c r="AM4" i="12"/>
  <c r="AM3" i="12" s="1"/>
  <c r="AM26" i="17"/>
  <c r="AM12" i="17"/>
  <c r="AM3" i="17"/>
  <c r="AM19" i="4"/>
  <c r="AM4" i="4"/>
  <c r="AM27" i="3"/>
  <c r="AM22" i="3"/>
  <c r="AM41" i="8"/>
  <c r="AM38" i="8"/>
  <c r="AM18" i="8"/>
  <c r="AM13" i="8"/>
  <c r="AM9" i="8"/>
  <c r="AM6" i="8"/>
  <c r="AM38" i="7"/>
  <c r="AM32" i="7"/>
  <c r="AM20" i="7"/>
  <c r="AM5" i="7"/>
  <c r="AB12" i="19" l="1"/>
  <c r="AB123" i="19"/>
  <c r="AB82" i="19"/>
  <c r="AB94" i="19" s="1"/>
  <c r="AB98" i="19" s="1"/>
  <c r="AB100" i="19" s="1"/>
  <c r="AB102" i="19" s="1"/>
  <c r="AB104" i="19" s="1"/>
  <c r="AB114" i="19"/>
  <c r="AB47" i="19"/>
  <c r="AB59" i="19" s="1"/>
  <c r="AB63" i="19" s="1"/>
  <c r="AB65" i="19" s="1"/>
  <c r="AB67" i="19" s="1"/>
  <c r="AB69" i="19" s="1"/>
  <c r="AB128" i="19"/>
  <c r="AB120" i="19"/>
  <c r="AB24" i="19"/>
  <c r="AB28" i="19" s="1"/>
  <c r="AB30" i="19" s="1"/>
  <c r="AB32" i="19" s="1"/>
  <c r="AB34" i="19" s="1"/>
  <c r="AB180" i="19"/>
  <c r="AB110" i="19"/>
  <c r="AB193" i="19"/>
  <c r="AB185" i="19"/>
  <c r="AB184" i="19" s="1"/>
  <c r="AB188" i="19"/>
  <c r="AB190" i="19" s="1"/>
  <c r="AB196" i="19"/>
  <c r="AB198" i="19" s="1"/>
  <c r="AM15" i="15"/>
  <c r="V33" i="18"/>
  <c r="V26" i="18"/>
  <c r="V28" i="18"/>
  <c r="AM11" i="16"/>
  <c r="AM12" i="12"/>
  <c r="AM24" i="12" s="1"/>
  <c r="AM26" i="12" s="1"/>
  <c r="AM31" i="17"/>
  <c r="AM30" i="4"/>
  <c r="AM23" i="25"/>
  <c r="AM26" i="3"/>
  <c r="AM36" i="8"/>
  <c r="AM44" i="8" s="1"/>
  <c r="AM45" i="8" s="1"/>
  <c r="AM25" i="8"/>
  <c r="AM27" i="8" s="1"/>
  <c r="AM29" i="8" s="1"/>
  <c r="AM30" i="8" s="1"/>
  <c r="AM24" i="7"/>
  <c r="AA88" i="19"/>
  <c r="V38" i="18" l="1"/>
  <c r="AB117" i="19"/>
  <c r="AB129" i="19" s="1"/>
  <c r="AB133" i="19" s="1"/>
  <c r="AB135" i="19" s="1"/>
  <c r="AB137" i="19" s="1"/>
  <c r="AB139" i="19" s="1"/>
  <c r="AB187" i="19"/>
  <c r="AB199" i="19" s="1"/>
  <c r="AB203" i="19" s="1"/>
  <c r="AB205" i="19" s="1"/>
  <c r="AB207" i="19" s="1"/>
  <c r="AB209" i="19" s="1"/>
  <c r="AL45" i="8"/>
  <c r="AK44" i="8"/>
  <c r="AL44" i="8"/>
  <c r="AL6" i="8"/>
  <c r="AL13" i="25" l="1"/>
  <c r="AL27" i="12"/>
  <c r="AM34" i="20" l="1"/>
  <c r="AM33" i="20"/>
  <c r="AM19" i="20"/>
  <c r="AM16" i="20"/>
  <c r="AM5" i="20"/>
  <c r="AA50" i="19"/>
  <c r="AA163" i="19"/>
  <c r="AA158" i="19"/>
  <c r="AA152" i="19"/>
  <c r="AA164" i="19" s="1"/>
  <c r="AA168" i="19" s="1"/>
  <c r="AA170" i="19" s="1"/>
  <c r="AA172" i="19" s="1"/>
  <c r="AA174" i="19" s="1"/>
  <c r="AA149" i="19"/>
  <c r="AA145" i="19"/>
  <c r="AA142" i="19"/>
  <c r="AA141" i="19"/>
  <c r="AA140" i="19"/>
  <c r="AA136" i="19"/>
  <c r="AA206" i="19" s="1"/>
  <c r="AA134" i="19"/>
  <c r="AA204" i="19" s="1"/>
  <c r="AA131" i="19"/>
  <c r="AA201" i="19" s="1"/>
  <c r="AA130" i="19"/>
  <c r="AA200" i="19" s="1"/>
  <c r="AA127" i="19"/>
  <c r="AA128" i="19" s="1"/>
  <c r="AA126" i="19"/>
  <c r="AA196" i="19" s="1"/>
  <c r="AA125" i="19"/>
  <c r="AA195" i="19" s="1"/>
  <c r="AA124" i="19"/>
  <c r="AA194" i="19" s="1"/>
  <c r="AA122" i="19"/>
  <c r="AA192" i="19" s="1"/>
  <c r="AA121" i="19"/>
  <c r="AA191" i="19" s="1"/>
  <c r="AA119" i="19"/>
  <c r="AA189" i="19" s="1"/>
  <c r="AA118" i="19"/>
  <c r="AA188" i="19" s="1"/>
  <c r="AA116" i="19"/>
  <c r="AA186" i="19" s="1"/>
  <c r="AA115" i="19"/>
  <c r="AA113" i="19"/>
  <c r="AA183" i="19" s="1"/>
  <c r="AA112" i="19"/>
  <c r="AA182" i="19" s="1"/>
  <c r="AA111" i="19"/>
  <c r="AA110" i="19" s="1"/>
  <c r="AA93" i="19"/>
  <c r="AA85" i="19"/>
  <c r="AA79" i="19"/>
  <c r="AA75" i="19"/>
  <c r="AA58" i="19"/>
  <c r="AA53" i="19"/>
  <c r="AA44" i="19"/>
  <c r="AA40" i="19"/>
  <c r="AA23" i="19"/>
  <c r="AA18" i="19"/>
  <c r="AA15" i="19"/>
  <c r="AA9" i="19"/>
  <c r="AA5" i="19"/>
  <c r="AL5" i="26"/>
  <c r="AL9" i="15"/>
  <c r="AL3" i="15"/>
  <c r="U37" i="18"/>
  <c r="U36" i="18"/>
  <c r="U35" i="18"/>
  <c r="U34" i="18"/>
  <c r="U32" i="18"/>
  <c r="U31" i="18"/>
  <c r="U30" i="18"/>
  <c r="U29" i="18"/>
  <c r="U21" i="18"/>
  <c r="U16" i="18"/>
  <c r="U9" i="18"/>
  <c r="U4" i="18"/>
  <c r="AL7" i="16"/>
  <c r="AL11" i="16" s="1"/>
  <c r="AL3" i="16"/>
  <c r="AL16" i="12"/>
  <c r="AL13" i="12"/>
  <c r="AL4" i="12"/>
  <c r="AL3" i="12" s="1"/>
  <c r="AL26" i="17"/>
  <c r="AL12" i="17"/>
  <c r="AL3" i="17"/>
  <c r="AL19" i="4"/>
  <c r="AL4" i="4"/>
  <c r="AL3" i="25"/>
  <c r="AL23" i="25" s="1"/>
  <c r="AL34" i="3"/>
  <c r="AL27" i="3"/>
  <c r="AL22" i="3"/>
  <c r="AL38" i="8"/>
  <c r="AL18" i="8"/>
  <c r="AL13" i="8"/>
  <c r="AL9" i="8"/>
  <c r="AL51" i="7"/>
  <c r="AL38" i="7"/>
  <c r="AL32" i="7"/>
  <c r="AL20" i="7"/>
  <c r="AL5" i="7"/>
  <c r="AK12" i="17"/>
  <c r="AL34" i="20"/>
  <c r="AL33" i="20"/>
  <c r="AL19" i="20"/>
  <c r="AL16" i="20"/>
  <c r="AL5" i="20"/>
  <c r="AL4" i="20" s="1"/>
  <c r="Z88" i="19"/>
  <c r="Z206" i="19"/>
  <c r="Z202" i="19"/>
  <c r="Z163" i="19"/>
  <c r="Z158" i="19"/>
  <c r="Z149" i="19"/>
  <c r="Z145" i="19"/>
  <c r="Z152" i="19" s="1"/>
  <c r="Z164" i="19" s="1"/>
  <c r="Z168" i="19" s="1"/>
  <c r="Z170" i="19" s="1"/>
  <c r="Z172" i="19" s="1"/>
  <c r="Z174" i="19" s="1"/>
  <c r="Z142" i="19"/>
  <c r="Z212" i="19" s="1"/>
  <c r="Z141" i="19"/>
  <c r="Z211" i="19" s="1"/>
  <c r="Z140" i="19"/>
  <c r="Z136" i="19"/>
  <c r="Z134" i="19"/>
  <c r="Z204" i="19" s="1"/>
  <c r="Z131" i="19"/>
  <c r="Z201" i="19" s="1"/>
  <c r="Z130" i="19"/>
  <c r="Z200" i="19" s="1"/>
  <c r="Z127" i="19"/>
  <c r="Z197" i="19" s="1"/>
  <c r="Z126" i="19"/>
  <c r="Z128" i="19" s="1"/>
  <c r="Z125" i="19"/>
  <c r="Z123" i="19" s="1"/>
  <c r="Z124" i="19"/>
  <c r="Z194" i="19" s="1"/>
  <c r="Z122" i="19"/>
  <c r="Z192" i="19" s="1"/>
  <c r="Z121" i="19"/>
  <c r="Z191" i="19" s="1"/>
  <c r="Z119" i="19"/>
  <c r="Z189" i="19" s="1"/>
  <c r="Z118" i="19"/>
  <c r="Z116" i="19"/>
  <c r="Z115" i="19"/>
  <c r="Z185" i="19" s="1"/>
  <c r="Z113" i="19"/>
  <c r="Z183" i="19" s="1"/>
  <c r="Z112" i="19"/>
  <c r="Z182" i="19" s="1"/>
  <c r="Z111" i="19"/>
  <c r="Z181" i="19" s="1"/>
  <c r="Z93" i="19"/>
  <c r="Z85" i="19"/>
  <c r="Z79" i="19"/>
  <c r="Z75" i="19"/>
  <c r="Z82" i="19" s="1"/>
  <c r="Z58" i="19"/>
  <c r="Z53" i="19"/>
  <c r="Z50" i="19"/>
  <c r="Z44" i="19"/>
  <c r="Z40" i="19"/>
  <c r="Z23" i="19"/>
  <c r="Z18" i="19"/>
  <c r="Z15" i="19"/>
  <c r="Z9" i="19"/>
  <c r="Z5" i="19"/>
  <c r="Z12" i="19" s="1"/>
  <c r="AK5" i="26"/>
  <c r="AK9" i="15"/>
  <c r="AK3" i="15"/>
  <c r="T37" i="18"/>
  <c r="T36" i="18"/>
  <c r="T35" i="18"/>
  <c r="T34" i="18"/>
  <c r="T32" i="18"/>
  <c r="T31" i="18"/>
  <c r="T30" i="18"/>
  <c r="T29" i="18"/>
  <c r="T21" i="18"/>
  <c r="T16" i="18"/>
  <c r="T9" i="18"/>
  <c r="T4" i="18"/>
  <c r="AK7" i="16"/>
  <c r="AK3" i="16"/>
  <c r="AK27" i="12"/>
  <c r="AK16" i="12"/>
  <c r="AK13" i="12"/>
  <c r="AK4" i="12"/>
  <c r="AK3" i="12" s="1"/>
  <c r="AK26" i="17"/>
  <c r="AK3" i="17"/>
  <c r="AK19" i="4"/>
  <c r="AK4" i="4"/>
  <c r="AK13" i="25"/>
  <c r="AK3" i="25"/>
  <c r="AK34" i="3"/>
  <c r="AK27" i="3"/>
  <c r="AK22" i="3"/>
  <c r="AK41" i="8"/>
  <c r="AK38" i="8"/>
  <c r="AK18" i="8"/>
  <c r="AK13" i="8"/>
  <c r="AK9" i="8"/>
  <c r="AK6" i="8"/>
  <c r="AK38" i="7"/>
  <c r="AK42" i="7" s="1"/>
  <c r="AK51" i="7"/>
  <c r="AK32" i="7"/>
  <c r="AK20" i="7"/>
  <c r="AK5" i="7"/>
  <c r="AL30" i="4" l="1"/>
  <c r="AL12" i="12"/>
  <c r="AL24" i="12" s="1"/>
  <c r="U26" i="18"/>
  <c r="U14" i="18"/>
  <c r="AL15" i="15"/>
  <c r="AA114" i="19"/>
  <c r="AA117" i="19" s="1"/>
  <c r="AA82" i="19"/>
  <c r="AA94" i="19" s="1"/>
  <c r="AA98" i="19" s="1"/>
  <c r="AA100" i="19" s="1"/>
  <c r="AA102" i="19" s="1"/>
  <c r="AA104" i="19" s="1"/>
  <c r="AA47" i="19"/>
  <c r="AA59" i="19" s="1"/>
  <c r="AA63" i="19" s="1"/>
  <c r="AA65" i="19" s="1"/>
  <c r="AA67" i="19" s="1"/>
  <c r="AA69" i="19" s="1"/>
  <c r="AA12" i="19"/>
  <c r="AA24" i="19" s="1"/>
  <c r="AA28" i="19" s="1"/>
  <c r="AA30" i="19" s="1"/>
  <c r="AA32" i="19" s="1"/>
  <c r="AA34" i="19" s="1"/>
  <c r="AA185" i="19"/>
  <c r="AA184" i="19" s="1"/>
  <c r="AA193" i="19"/>
  <c r="AA190" i="19"/>
  <c r="AA197" i="19"/>
  <c r="AA198" i="19" s="1"/>
  <c r="AA123" i="19"/>
  <c r="AA181" i="19"/>
  <c r="AA180" i="19" s="1"/>
  <c r="AA120" i="19"/>
  <c r="U28" i="18"/>
  <c r="U33" i="18"/>
  <c r="AL31" i="17"/>
  <c r="AL26" i="3"/>
  <c r="AL37" i="3" s="1"/>
  <c r="AL36" i="8"/>
  <c r="AL25" i="8"/>
  <c r="AL29" i="8" s="1"/>
  <c r="AL52" i="7"/>
  <c r="AL24" i="7"/>
  <c r="AK30" i="4"/>
  <c r="AK12" i="12"/>
  <c r="AK24" i="12" s="1"/>
  <c r="AK26" i="12" s="1"/>
  <c r="T26" i="18"/>
  <c r="T14" i="18"/>
  <c r="Z94" i="19"/>
  <c r="Z98" i="19" s="1"/>
  <c r="Z100" i="19" s="1"/>
  <c r="Z102" i="19" s="1"/>
  <c r="Z104" i="19" s="1"/>
  <c r="Z114" i="19"/>
  <c r="Z120" i="19"/>
  <c r="Z47" i="19"/>
  <c r="Z59" i="19" s="1"/>
  <c r="Z63" i="19" s="1"/>
  <c r="Z65" i="19" s="1"/>
  <c r="Z67" i="19" s="1"/>
  <c r="Z24" i="19"/>
  <c r="Z28" i="19" s="1"/>
  <c r="Z30" i="19" s="1"/>
  <c r="Z32" i="19" s="1"/>
  <c r="Z34" i="19" s="1"/>
  <c r="Z186" i="19"/>
  <c r="Z184" i="19" s="1"/>
  <c r="Z180" i="19"/>
  <c r="Z110" i="19"/>
  <c r="Z195" i="19"/>
  <c r="Z193" i="19" s="1"/>
  <c r="Z188" i="19"/>
  <c r="Z190" i="19" s="1"/>
  <c r="Z196" i="19"/>
  <c r="Z198" i="19" s="1"/>
  <c r="AK15" i="15"/>
  <c r="T28" i="18"/>
  <c r="T33" i="18"/>
  <c r="AK11" i="16"/>
  <c r="AK31" i="17"/>
  <c r="AK23" i="25"/>
  <c r="AK26" i="3"/>
  <c r="AK37" i="3" s="1"/>
  <c r="AK36" i="8"/>
  <c r="AK45" i="8" s="1"/>
  <c r="AK25" i="8"/>
  <c r="AK27" i="8" s="1"/>
  <c r="AK29" i="8" s="1"/>
  <c r="AK30" i="8" s="1"/>
  <c r="AK52" i="7"/>
  <c r="AK24" i="7"/>
  <c r="AL26" i="12" l="1"/>
  <c r="U38" i="18"/>
  <c r="AA129" i="19"/>
  <c r="AA133" i="19" s="1"/>
  <c r="AA135" i="19" s="1"/>
  <c r="AA137" i="19" s="1"/>
  <c r="AA139" i="19" s="1"/>
  <c r="AA187" i="19"/>
  <c r="AA199" i="19" s="1"/>
  <c r="AA203" i="19" s="1"/>
  <c r="AA205" i="19" s="1"/>
  <c r="AA207" i="19" s="1"/>
  <c r="AA209" i="19" s="1"/>
  <c r="T38" i="18"/>
  <c r="Z117" i="19"/>
  <c r="Z129" i="19" s="1"/>
  <c r="Z133" i="19" s="1"/>
  <c r="Z135" i="19" s="1"/>
  <c r="Z137" i="19" s="1"/>
  <c r="Z139" i="19" s="1"/>
  <c r="Z187" i="19"/>
  <c r="Z199" i="19" s="1"/>
  <c r="Z203" i="19" s="1"/>
  <c r="Z205" i="19" s="1"/>
  <c r="Z207" i="19" s="1"/>
  <c r="Z209" i="19" s="1"/>
  <c r="C16" i="27" l="1"/>
  <c r="AK34" i="20"/>
  <c r="AK33" i="20"/>
  <c r="AK19" i="20"/>
  <c r="AK16" i="20"/>
  <c r="AK5" i="20"/>
  <c r="AJ38" i="7"/>
  <c r="AJ20" i="7"/>
  <c r="AJ5" i="7"/>
  <c r="AK4" i="20" l="1"/>
  <c r="Y202" i="19" l="1"/>
  <c r="Y163" i="19"/>
  <c r="Y158" i="19"/>
  <c r="Y152" i="19"/>
  <c r="Y164" i="19" s="1"/>
  <c r="Y168" i="19" s="1"/>
  <c r="Y170" i="19" s="1"/>
  <c r="Y172" i="19" s="1"/>
  <c r="Y174" i="19" s="1"/>
  <c r="Y149" i="19"/>
  <c r="Y145" i="19"/>
  <c r="Y142" i="19"/>
  <c r="Y212" i="19" s="1"/>
  <c r="Y141" i="19"/>
  <c r="Y211" i="19" s="1"/>
  <c r="Y140" i="19"/>
  <c r="Y136" i="19"/>
  <c r="Y206" i="19" s="1"/>
  <c r="Y134" i="19"/>
  <c r="Y204" i="19" s="1"/>
  <c r="Y131" i="19"/>
  <c r="Y201" i="19" s="1"/>
  <c r="Y130" i="19"/>
  <c r="Y200" i="19" s="1"/>
  <c r="Y127" i="19"/>
  <c r="Y197" i="19" s="1"/>
  <c r="Y126" i="19"/>
  <c r="Y196" i="19" s="1"/>
  <c r="Y125" i="19"/>
  <c r="Y195" i="19" s="1"/>
  <c r="Y124" i="19"/>
  <c r="Y194" i="19" s="1"/>
  <c r="Y193" i="19" s="1"/>
  <c r="Y122" i="19"/>
  <c r="Y192" i="19" s="1"/>
  <c r="Y121" i="19"/>
  <c r="Y191" i="19" s="1"/>
  <c r="Y119" i="19"/>
  <c r="Y189" i="19" s="1"/>
  <c r="Y118" i="19"/>
  <c r="Y188" i="19" s="1"/>
  <c r="Y116" i="19"/>
  <c r="Y186" i="19" s="1"/>
  <c r="Y115" i="19"/>
  <c r="Y113" i="19"/>
  <c r="Y183" i="19" s="1"/>
  <c r="Y112" i="19"/>
  <c r="Y182" i="19" s="1"/>
  <c r="Y111" i="19"/>
  <c r="Y181" i="19" s="1"/>
  <c r="Y93" i="19"/>
  <c r="Y88" i="19"/>
  <c r="Y85" i="19"/>
  <c r="Y79" i="19"/>
  <c r="Y75" i="19"/>
  <c r="Y58" i="19"/>
  <c r="Y53" i="19"/>
  <c r="Y50" i="19"/>
  <c r="Y44" i="19"/>
  <c r="Y40" i="19"/>
  <c r="Y23" i="19"/>
  <c r="Y18" i="19"/>
  <c r="Y15" i="19"/>
  <c r="Y9" i="19"/>
  <c r="Y5" i="19"/>
  <c r="AJ5" i="26"/>
  <c r="AJ9" i="15"/>
  <c r="AJ3" i="15"/>
  <c r="S37" i="18"/>
  <c r="S36" i="18"/>
  <c r="S35" i="18"/>
  <c r="S34" i="18"/>
  <c r="S33" i="18" s="1"/>
  <c r="S32" i="18"/>
  <c r="S31" i="18"/>
  <c r="S30" i="18"/>
  <c r="S29" i="18"/>
  <c r="S21" i="18"/>
  <c r="S16" i="18"/>
  <c r="S9" i="18"/>
  <c r="S14" i="18" s="1"/>
  <c r="S4" i="18"/>
  <c r="AJ7" i="16"/>
  <c r="AJ3" i="16"/>
  <c r="AJ27" i="12"/>
  <c r="AJ16" i="12"/>
  <c r="AJ13" i="12"/>
  <c r="AJ4" i="12"/>
  <c r="AJ3" i="12" s="1"/>
  <c r="AJ26" i="17"/>
  <c r="AJ12" i="17"/>
  <c r="AJ3" i="17"/>
  <c r="AJ13" i="25"/>
  <c r="AJ3" i="25"/>
  <c r="AJ19" i="4"/>
  <c r="AJ4" i="4"/>
  <c r="AJ34" i="3"/>
  <c r="AJ27" i="3"/>
  <c r="AJ22" i="3"/>
  <c r="AJ41" i="8"/>
  <c r="AJ38" i="8"/>
  <c r="AJ18" i="8"/>
  <c r="AJ13" i="8"/>
  <c r="AJ9" i="8"/>
  <c r="AJ6" i="8"/>
  <c r="AJ51" i="7"/>
  <c r="AJ42" i="7"/>
  <c r="AJ32" i="7"/>
  <c r="AJ24" i="7"/>
  <c r="AH37" i="3"/>
  <c r="AI5" i="20"/>
  <c r="AI34" i="20"/>
  <c r="AI33" i="20"/>
  <c r="AI19" i="20"/>
  <c r="AI16" i="20"/>
  <c r="AI4" i="20" s="1"/>
  <c r="AJ30" i="4" l="1"/>
  <c r="Y47" i="19"/>
  <c r="Y12" i="19"/>
  <c r="S26" i="18"/>
  <c r="Y82" i="19"/>
  <c r="Y94" i="19" s="1"/>
  <c r="Y98" i="19" s="1"/>
  <c r="Y100" i="19" s="1"/>
  <c r="Y102" i="19" s="1"/>
  <c r="Y104" i="19" s="1"/>
  <c r="Y59" i="19"/>
  <c r="Y63" i="19" s="1"/>
  <c r="Y65" i="19" s="1"/>
  <c r="Y67" i="19" s="1"/>
  <c r="Y69" i="19" s="1"/>
  <c r="Y114" i="19"/>
  <c r="Y185" i="19"/>
  <c r="Y184" i="19" s="1"/>
  <c r="Y190" i="19"/>
  <c r="Y24" i="19"/>
  <c r="Y28" i="19" s="1"/>
  <c r="Y30" i="19" s="1"/>
  <c r="Y32" i="19" s="1"/>
  <c r="Y34" i="19" s="1"/>
  <c r="Y198" i="19"/>
  <c r="Y180" i="19"/>
  <c r="Y110" i="19"/>
  <c r="Y120" i="19"/>
  <c r="Y128" i="19"/>
  <c r="Y123" i="19"/>
  <c r="AJ15" i="15"/>
  <c r="S28" i="18"/>
  <c r="S38" i="18" s="1"/>
  <c r="AJ11" i="16"/>
  <c r="AJ12" i="12"/>
  <c r="AJ24" i="12" s="1"/>
  <c r="AJ26" i="12" s="1"/>
  <c r="AJ31" i="17"/>
  <c r="AJ23" i="25"/>
  <c r="AJ26" i="3"/>
  <c r="AJ37" i="3" s="1"/>
  <c r="AJ36" i="8"/>
  <c r="AJ44" i="8" s="1"/>
  <c r="AJ25" i="8"/>
  <c r="AJ27" i="8" s="1"/>
  <c r="AJ29" i="8" s="1"/>
  <c r="AJ30" i="8" s="1"/>
  <c r="AJ52" i="7"/>
  <c r="X212" i="19"/>
  <c r="X211" i="19"/>
  <c r="X18" i="19"/>
  <c r="W18" i="19"/>
  <c r="AI5" i="26"/>
  <c r="AI34" i="3"/>
  <c r="Y117" i="19" l="1"/>
  <c r="Y129" i="19" s="1"/>
  <c r="Y133" i="19" s="1"/>
  <c r="Y135" i="19" s="1"/>
  <c r="Y137" i="19" s="1"/>
  <c r="Y139" i="19" s="1"/>
  <c r="Y187" i="19"/>
  <c r="Y199" i="19" s="1"/>
  <c r="Y203" i="19" s="1"/>
  <c r="Y205" i="19" s="1"/>
  <c r="Y207" i="19" s="1"/>
  <c r="Y209" i="19" s="1"/>
  <c r="AJ34" i="20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7" i="16"/>
  <c r="AI3" i="16"/>
  <c r="AI27" i="12"/>
  <c r="AI16" i="12"/>
  <c r="AI13" i="12"/>
  <c r="AI4" i="12"/>
  <c r="AI3" i="12" s="1"/>
  <c r="AI26" i="17"/>
  <c r="AI12" i="17"/>
  <c r="AI3" i="17"/>
  <c r="AI13" i="25"/>
  <c r="AI3" i="25"/>
  <c r="AI19" i="4"/>
  <c r="AI4" i="4"/>
  <c r="AI27" i="3"/>
  <c r="AI26" i="3" s="1"/>
  <c r="AI22" i="3"/>
  <c r="AI41" i="8"/>
  <c r="AI38" i="8"/>
  <c r="AI18" i="8"/>
  <c r="AI13" i="8"/>
  <c r="AI9" i="8"/>
  <c r="AI6" i="8"/>
  <c r="AI20" i="7"/>
  <c r="AI5" i="7"/>
  <c r="AI51" i="7"/>
  <c r="AI38" i="7"/>
  <c r="AI42" i="7" s="1"/>
  <c r="AI32" i="7"/>
  <c r="AH27" i="3"/>
  <c r="C10" i="22"/>
  <c r="D10" i="22"/>
  <c r="E10" i="22"/>
  <c r="F10" i="22"/>
  <c r="G10" i="22"/>
  <c r="C11" i="22"/>
  <c r="D11" i="22"/>
  <c r="E11" i="22"/>
  <c r="F11" i="22"/>
  <c r="G11" i="22"/>
  <c r="AI11" i="16" l="1"/>
  <c r="AI36" i="8"/>
  <c r="AI44" i="8" s="1"/>
  <c r="AI45" i="8" s="1"/>
  <c r="AI25" i="8"/>
  <c r="AI27" i="8" s="1"/>
  <c r="AI29" i="8" s="1"/>
  <c r="AI30" i="8" s="1"/>
  <c r="AI52" i="7"/>
  <c r="AI24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/>
  <c r="AI26" i="12" s="1"/>
  <c r="AI23" i="25"/>
  <c r="AI30" i="4"/>
  <c r="AI37" i="3"/>
  <c r="F44" i="8"/>
  <c r="F41" i="8"/>
  <c r="F36" i="8" s="1"/>
  <c r="F38" i="8"/>
  <c r="C44" i="8"/>
  <c r="C41" i="8"/>
  <c r="C38" i="8"/>
  <c r="D38" i="8"/>
  <c r="D41" i="8"/>
  <c r="E41" i="8"/>
  <c r="E36" i="8" s="1"/>
  <c r="E44" i="8" s="1"/>
  <c r="G41" i="8"/>
  <c r="H41" i="8"/>
  <c r="I41" i="8"/>
  <c r="J41" i="8"/>
  <c r="K41" i="8"/>
  <c r="K36" i="8" s="1"/>
  <c r="K44" i="8" s="1"/>
  <c r="L41" i="8"/>
  <c r="M41" i="8"/>
  <c r="N41" i="8"/>
  <c r="N36" i="8" s="1"/>
  <c r="N44" i="8" s="1"/>
  <c r="O41" i="8"/>
  <c r="P41" i="8"/>
  <c r="Q41" i="8"/>
  <c r="R41" i="8"/>
  <c r="T38" i="8"/>
  <c r="S38" i="8"/>
  <c r="R38" i="8"/>
  <c r="Q38" i="8"/>
  <c r="Q36" i="8" s="1"/>
  <c r="Q44" i="8" s="1"/>
  <c r="P38" i="8"/>
  <c r="O38" i="8"/>
  <c r="O36" i="8" s="1"/>
  <c r="O44" i="8" s="1"/>
  <c r="N38" i="8"/>
  <c r="M38" i="8"/>
  <c r="L38" i="8"/>
  <c r="K38" i="8"/>
  <c r="J38" i="8"/>
  <c r="J36" i="8" s="1"/>
  <c r="J44" i="8" s="1"/>
  <c r="I38" i="8"/>
  <c r="H38" i="8"/>
  <c r="G38" i="8"/>
  <c r="E38" i="8"/>
  <c r="I36" i="8"/>
  <c r="I44" i="8" s="1"/>
  <c r="V44" i="8"/>
  <c r="U44" i="8"/>
  <c r="X117" i="19" l="1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D36" i="8"/>
  <c r="D44" i="8" s="1"/>
  <c r="H36" i="8"/>
  <c r="H44" i="8" s="1"/>
  <c r="L36" i="8"/>
  <c r="L44" i="8" s="1"/>
  <c r="M36" i="8"/>
  <c r="M44" i="8" s="1"/>
  <c r="P36" i="8"/>
  <c r="P44" i="8" s="1"/>
  <c r="R36" i="8"/>
  <c r="R44" i="8" s="1"/>
  <c r="G36" i="8"/>
  <c r="G44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7" i="26"/>
  <c r="F5" i="26"/>
  <c r="E5" i="26"/>
  <c r="D5" i="26"/>
  <c r="C5" i="26"/>
  <c r="J17" i="26"/>
  <c r="J5" i="26"/>
  <c r="K17" i="26"/>
  <c r="K5" i="26"/>
  <c r="N5" i="26"/>
  <c r="R17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3" i="25" s="1"/>
  <c r="E3" i="25"/>
  <c r="E23" i="25" s="1"/>
  <c r="F3" i="25"/>
  <c r="G3" i="25"/>
  <c r="G23" i="25" s="1"/>
  <c r="H3" i="25"/>
  <c r="I3" i="25"/>
  <c r="J3" i="25"/>
  <c r="K3" i="25"/>
  <c r="L3" i="25"/>
  <c r="L23" i="25" s="1"/>
  <c r="M3" i="25"/>
  <c r="M23" i="25" s="1"/>
  <c r="N3" i="25"/>
  <c r="O3" i="25"/>
  <c r="O23" i="25" s="1"/>
  <c r="P3" i="25"/>
  <c r="P23" i="25" s="1"/>
  <c r="Q3" i="25"/>
  <c r="Q23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C23" i="25" s="1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V11" i="22"/>
  <c r="V10" i="22"/>
  <c r="F23" i="25" l="1"/>
  <c r="J23" i="25"/>
  <c r="I23" i="25"/>
  <c r="S23" i="25"/>
  <c r="H23" i="25"/>
  <c r="R23" i="25"/>
  <c r="N23" i="25"/>
  <c r="K23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3" i="25" l="1"/>
  <c r="Y13" i="25" l="1"/>
  <c r="X13" i="25"/>
  <c r="Y23" i="25" l="1"/>
  <c r="X23" i="25"/>
  <c r="W13" i="25"/>
  <c r="W23" i="25" l="1"/>
  <c r="U13" i="25"/>
  <c r="T13" i="25"/>
  <c r="V13" i="25" l="1"/>
  <c r="U23" i="25"/>
  <c r="T23" i="25"/>
  <c r="V23" i="25" l="1"/>
  <c r="S41" i="8"/>
  <c r="T41" i="8"/>
  <c r="U41" i="8"/>
  <c r="W41" i="8"/>
  <c r="X41" i="8"/>
  <c r="Y41" i="8"/>
  <c r="Z41" i="8"/>
  <c r="U38" i="8"/>
  <c r="V38" i="8"/>
  <c r="W38" i="8"/>
  <c r="X38" i="8"/>
  <c r="Y38" i="8"/>
  <c r="Z38" i="8"/>
  <c r="AH38" i="8"/>
  <c r="AH41" i="8"/>
  <c r="Z36" i="8" l="1"/>
  <c r="Z44" i="8" s="1"/>
  <c r="Y36" i="8"/>
  <c r="Y44" i="8" s="1"/>
  <c r="S36" i="8"/>
  <c r="S44" i="8" s="1"/>
  <c r="T36" i="8"/>
  <c r="T44" i="8" s="1"/>
  <c r="U36" i="8"/>
  <c r="V36" i="8"/>
  <c r="W36" i="8"/>
  <c r="W44" i="8" s="1"/>
  <c r="X36" i="8"/>
  <c r="X44" i="8" s="1"/>
  <c r="AH36" i="8"/>
  <c r="AH44" i="8" s="1"/>
  <c r="AF41" i="8" l="1"/>
  <c r="AE41" i="8"/>
  <c r="AF38" i="8"/>
  <c r="AF36" i="8" s="1"/>
  <c r="AF44" i="8" s="1"/>
  <c r="AE38" i="8"/>
  <c r="AB13" i="25"/>
  <c r="AC13" i="25"/>
  <c r="AB41" i="8"/>
  <c r="AB38" i="8"/>
  <c r="AA41" i="8"/>
  <c r="AA38" i="8"/>
  <c r="AA13" i="25"/>
  <c r="AA23" i="25"/>
  <c r="AH29" i="8"/>
  <c r="AH30" i="8"/>
  <c r="AH22" i="3"/>
  <c r="AH24" i="12"/>
  <c r="AH26" i="12"/>
  <c r="AH12" i="12"/>
  <c r="AD41" i="8" l="1"/>
  <c r="AD38" i="8"/>
  <c r="AE36" i="8"/>
  <c r="AE44" i="8" s="1"/>
  <c r="AD13" i="25"/>
  <c r="AC23" i="25"/>
  <c r="AB23" i="25"/>
  <c r="AB36" i="8"/>
  <c r="AB44" i="8" s="1"/>
  <c r="AA36" i="8"/>
  <c r="AA44" i="8" s="1"/>
  <c r="AE13" i="25"/>
  <c r="AE23" i="25" s="1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4" i="8" s="1"/>
  <c r="AD23" i="25"/>
  <c r="AF13" i="25"/>
  <c r="AF23" i="25" l="1"/>
  <c r="AF5" i="26"/>
  <c r="W93" i="19"/>
  <c r="W40" i="19"/>
  <c r="W58" i="19"/>
  <c r="AH5" i="26" l="1"/>
  <c r="AH38" i="7"/>
  <c r="AH32" i="7"/>
  <c r="AH20" i="7"/>
  <c r="AH5" i="7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7" i="16"/>
  <c r="AH3" i="16"/>
  <c r="AH27" i="12"/>
  <c r="AH16" i="12"/>
  <c r="AH13" i="12"/>
  <c r="AH4" i="12"/>
  <c r="AH3" i="12" s="1"/>
  <c r="AH26" i="17"/>
  <c r="AH12" i="17"/>
  <c r="AH3" i="17"/>
  <c r="AH13" i="25"/>
  <c r="AH19" i="4"/>
  <c r="AH4" i="4"/>
  <c r="AH26" i="3"/>
  <c r="AH18" i="8"/>
  <c r="AH13" i="8"/>
  <c r="AH9" i="8"/>
  <c r="AH6" i="8"/>
  <c r="AH51" i="7"/>
  <c r="AH42" i="7"/>
  <c r="AH24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AH25" i="8" l="1"/>
  <c r="AH27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1" i="16"/>
  <c r="AH31" i="17"/>
  <c r="AH23" i="25"/>
  <c r="AH30" i="4"/>
  <c r="AH52" i="7"/>
  <c r="AG5" i="26"/>
  <c r="AG13" i="25"/>
  <c r="AG23" i="25" s="1"/>
  <c r="AG41" i="8"/>
  <c r="AC41" i="8"/>
  <c r="AG38" i="8"/>
  <c r="AC38" i="8"/>
  <c r="AC36" i="8" s="1"/>
  <c r="AC44" i="8" s="1"/>
  <c r="AG36" i="8"/>
  <c r="AG44" i="8" s="1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29" i="8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7" i="16"/>
  <c r="AG3" i="16"/>
  <c r="AG27" i="12"/>
  <c r="AG16" i="12"/>
  <c r="AG13" i="12"/>
  <c r="AG4" i="12"/>
  <c r="AG3" i="12" s="1"/>
  <c r="AG26" i="17"/>
  <c r="AG12" i="17"/>
  <c r="AG3" i="17"/>
  <c r="AG19" i="4"/>
  <c r="AG4" i="4"/>
  <c r="AG34" i="3"/>
  <c r="AG27" i="3"/>
  <c r="AG22" i="3"/>
  <c r="AG3" i="3"/>
  <c r="AG13" i="8"/>
  <c r="AG9" i="8"/>
  <c r="AG6" i="8"/>
  <c r="AG32" i="7"/>
  <c r="AF32" i="7"/>
  <c r="W65" i="19" l="1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1" i="16"/>
  <c r="AG26" i="3"/>
  <c r="AG25" i="8"/>
  <c r="AG27" i="8" s="1"/>
  <c r="AG30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7" i="3"/>
  <c r="V187" i="19" l="1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1" i="7" l="1"/>
  <c r="AG42" i="7"/>
  <c r="AG24" i="7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6" i="17"/>
  <c r="AF3" i="17"/>
  <c r="AF19" i="4"/>
  <c r="AF4" i="4"/>
  <c r="AF34" i="3"/>
  <c r="AF27" i="3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2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1" i="17"/>
  <c r="AF30" i="4"/>
  <c r="AF26" i="3"/>
  <c r="AF37" i="3" s="1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1" i="7" l="1"/>
  <c r="AF42" i="7"/>
  <c r="AF24" i="7"/>
  <c r="T132" i="19"/>
  <c r="T202" i="19" s="1"/>
  <c r="T111" i="19"/>
  <c r="AF52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6" i="17"/>
  <c r="AE12" i="17"/>
  <c r="AE3" i="17"/>
  <c r="AE19" i="4"/>
  <c r="AE4" i="4"/>
  <c r="AE34" i="3"/>
  <c r="AE27" i="3"/>
  <c r="AE22" i="3"/>
  <c r="AE3" i="3"/>
  <c r="AE18" i="8"/>
  <c r="AE13" i="8"/>
  <c r="AE9" i="8"/>
  <c r="AE6" i="8"/>
  <c r="AE51" i="7"/>
  <c r="AE42" i="7"/>
  <c r="AE24" i="7"/>
  <c r="S132" i="19"/>
  <c r="S202" i="19" s="1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E2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37" i="3"/>
  <c r="AE25" i="8"/>
  <c r="AE27" i="8" s="1"/>
  <c r="AE29" i="8" s="1"/>
  <c r="AE30" i="8" s="1"/>
  <c r="AE52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6" i="17"/>
  <c r="AD12" i="17"/>
  <c r="AD3" i="17"/>
  <c r="AD19" i="4"/>
  <c r="AD4" i="4"/>
  <c r="AD34" i="3"/>
  <c r="AD27" i="3"/>
  <c r="AD22" i="3"/>
  <c r="AD3" i="3"/>
  <c r="AD18" i="8"/>
  <c r="AD9" i="8"/>
  <c r="AD6" i="8"/>
  <c r="AD51" i="7"/>
  <c r="AD42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26" i="3"/>
  <c r="M26" i="18"/>
  <c r="M28" i="18"/>
  <c r="AD11" i="16"/>
  <c r="AD15" i="15"/>
  <c r="AD52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6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2" i="7"/>
  <c r="AC12" i="12" l="1"/>
  <c r="AC24" i="12" s="1"/>
  <c r="AC26" i="12" s="1"/>
  <c r="AC31" i="17"/>
  <c r="AC30" i="4"/>
  <c r="AC37" i="3"/>
  <c r="AC30" i="8"/>
  <c r="AC51" i="7" l="1"/>
  <c r="AC52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6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31" i="17"/>
  <c r="AB30" i="4"/>
  <c r="AB26" i="3"/>
  <c r="AB37" i="3"/>
  <c r="AB29" i="8" l="1"/>
  <c r="AB30" i="8" s="1"/>
  <c r="AB18" i="8"/>
  <c r="AB13" i="8"/>
  <c r="AB9" i="8"/>
  <c r="AB51" i="7" l="1"/>
  <c r="AB42" i="7"/>
  <c r="AB24" i="7"/>
  <c r="AA34" i="3"/>
  <c r="AA27" i="3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1" i="7"/>
  <c r="AB52" i="7" l="1"/>
  <c r="AA30" i="4"/>
  <c r="AA26" i="3"/>
  <c r="AA37" i="3"/>
  <c r="AA29" i="8"/>
  <c r="AA31" i="17"/>
  <c r="AA12" i="12"/>
  <c r="AA24" i="12" s="1"/>
  <c r="AA26" i="12" s="1"/>
  <c r="AA11" i="16"/>
  <c r="J26" i="18"/>
  <c r="J14" i="18"/>
  <c r="AA42" i="7" l="1"/>
  <c r="AA24" i="7"/>
  <c r="AA52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6" i="17"/>
  <c r="Z12" i="17"/>
  <c r="Z3" i="17"/>
  <c r="Z13" i="12"/>
  <c r="Z12" i="12" s="1"/>
  <c r="Z19" i="4"/>
  <c r="Z4" i="4"/>
  <c r="Z30" i="4" s="1"/>
  <c r="Z18" i="8"/>
  <c r="Z13" i="8"/>
  <c r="Z9" i="8"/>
  <c r="Z51" i="7"/>
  <c r="Z42" i="7"/>
  <c r="Z52" i="7" s="1"/>
  <c r="Z24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7" i="16"/>
  <c r="X3" i="16"/>
  <c r="X15" i="15" l="1"/>
  <c r="X11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1" i="7" l="1"/>
  <c r="X42" i="7"/>
  <c r="X52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1" i="7"/>
  <c r="W38" i="7"/>
  <c r="W42" i="7" s="1"/>
  <c r="W20" i="7"/>
  <c r="W5" i="7"/>
  <c r="W24" i="7" s="1"/>
  <c r="W25" i="8" l="1"/>
  <c r="W52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8" i="7"/>
  <c r="U20" i="7"/>
  <c r="U24" i="12" l="1"/>
  <c r="U26" i="12" s="1"/>
  <c r="U42" i="7"/>
  <c r="U51" i="7"/>
  <c r="U24" i="7"/>
  <c r="U7" i="16"/>
  <c r="U3" i="16"/>
  <c r="U6" i="8"/>
  <c r="U25" i="8" s="1"/>
  <c r="U27" i="8" l="1"/>
  <c r="U11" i="16"/>
  <c r="U52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1" i="7"/>
  <c r="S51" i="7"/>
  <c r="R51" i="7"/>
  <c r="Q51" i="7"/>
  <c r="P51" i="7"/>
  <c r="O51" i="7"/>
  <c r="N51" i="7"/>
  <c r="M51" i="7"/>
  <c r="J51" i="7"/>
  <c r="I51" i="7"/>
  <c r="H51" i="7"/>
  <c r="G51" i="7"/>
  <c r="F51" i="7"/>
  <c r="E51" i="7"/>
  <c r="D51" i="7"/>
  <c r="C51" i="7"/>
  <c r="L49" i="7"/>
  <c r="K49" i="7"/>
  <c r="L48" i="7"/>
  <c r="K48" i="7"/>
  <c r="P42" i="7"/>
  <c r="O42" i="7"/>
  <c r="N42" i="7"/>
  <c r="M42" i="7"/>
  <c r="J42" i="7"/>
  <c r="I42" i="7"/>
  <c r="H42" i="7"/>
  <c r="G42" i="7"/>
  <c r="F42" i="7"/>
  <c r="E42" i="7"/>
  <c r="D42" i="7"/>
  <c r="C42" i="7"/>
  <c r="S39" i="7"/>
  <c r="S38" i="7" s="1"/>
  <c r="S42" i="7" s="1"/>
  <c r="L39" i="7"/>
  <c r="L38" i="7" s="1"/>
  <c r="K39" i="7"/>
  <c r="K38" i="7" s="1"/>
  <c r="T38" i="7"/>
  <c r="T42" i="7" s="1"/>
  <c r="R38" i="7"/>
  <c r="Q38" i="7"/>
  <c r="Q42" i="7" s="1"/>
  <c r="L36" i="7"/>
  <c r="K36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2" i="7"/>
  <c r="R52" i="7" s="1"/>
  <c r="L51" i="7"/>
  <c r="J52" i="7"/>
  <c r="T27" i="8"/>
  <c r="Q52" i="7"/>
  <c r="K51" i="7"/>
  <c r="N52" i="7"/>
  <c r="E52" i="7"/>
  <c r="I52" i="7"/>
  <c r="F52" i="7"/>
  <c r="K42" i="7"/>
  <c r="C52" i="7"/>
  <c r="G52" i="7"/>
  <c r="M52" i="7"/>
  <c r="P52" i="7"/>
  <c r="L42" i="7"/>
  <c r="T52" i="7"/>
  <c r="D52" i="7"/>
  <c r="H52" i="7"/>
  <c r="O52" i="7"/>
  <c r="S52" i="7"/>
  <c r="L52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2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<sst xmlns="http://schemas.openxmlformats.org/spreadsheetml/2006/main" count="3204" uniqueCount="703">
  <si>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</si>
  <si>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</si>
  <si>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</si>
  <si>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</si>
  <si>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</si>
  <si>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</si>
  <si>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</si>
  <si>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</si>
  <si>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</si>
  <si>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</si>
  <si>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</si>
  <si>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</si>
  <si>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</si>
  <si>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</si>
  <si>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</si>
  <si>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</si>
  <si>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</si>
  <si>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</si>
  <si>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</si>
  <si>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</si>
  <si>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</si>
  <si>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</si>
  <si>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</si>
  <si>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</si>
  <si>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</si>
  <si>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</si>
  <si>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</si>
  <si>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</si>
  <si>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</si>
  <si>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</si>
  <si>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</si>
  <si>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</si>
  <si>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</si>
  <si>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</si>
  <si>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</si>
  <si>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</si>
  <si>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</si>
  <si>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</si>
  <si>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</si>
  <si>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</si>
  <si>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</si>
  <si>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</si>
  <si>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</si>
  <si>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</si>
  <si>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</si>
  <si>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</si>
  <si>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</si>
  <si>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</si>
  <si>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</si>
  <si>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</si>
  <si>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</si>
  <si>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</si>
  <si>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</si>
  <si>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</si>
  <si>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</si>
  <si>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</si>
  <si>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</si>
  <si>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</si>
  <si>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</si>
  <si>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</si>
  <si>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</si>
  <si>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</si>
  <si>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</si>
  <si>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</si>
  <si>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</si>
  <si>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</si>
  <si>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</si>
  <si>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</si>
  <si>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</si>
  <si>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</si>
  <si>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</si>
  <si>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</si>
  <si>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</si>
  <si>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</si>
  <si>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</si>
  <si>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</si>
  <si>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</si>
  <si>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</si>
  <si>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</si>
  <si>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</si>
  <si>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</si>
  <si>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</si>
  <si>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</si>
  <si>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</si>
  <si>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</si>
  <si>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</si>
  <si>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</si>
  <si>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</si>
  <si>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</si>
  <si>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</si>
  <si>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</si>
  <si>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</si>
  <si>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</si>
  <si>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</si>
  <si>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</si>
  <si>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</si>
  <si>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</si>
  <si>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</si>
  <si>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>Odpisy na należności od klientów</t>
  </si>
  <si>
    <t>klient detaliczny</t>
  </si>
  <si>
    <t>klient biznesowy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</si>
  <si>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</si>
  <si>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</si>
  <si>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</si>
  <si>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</si>
  <si>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</si>
  <si>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</si>
  <si>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</si>
  <si>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</si>
  <si>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</si>
  <si>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</si>
  <si>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</si>
  <si>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</si>
  <si>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</si>
  <si>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</si>
  <si>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</si>
  <si>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</si>
  <si>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</si>
  <si>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</si>
  <si>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</si>
  <si>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</si>
  <si>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</si>
  <si>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</si>
  <si>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</si>
  <si>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</si>
  <si>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</si>
  <si>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</si>
  <si>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</si>
  <si>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</si>
  <si>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</si>
  <si>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</si>
  <si>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</si>
  <si>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</si>
  <si>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</si>
  <si>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</si>
  <si>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</si>
  <si>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</si>
  <si>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</si>
  <si>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</si>
  <si>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</si>
  <si>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</si>
  <si>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</si>
  <si>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</si>
  <si>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</si>
  <si>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</si>
  <si>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</si>
  <si>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</si>
  <si>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</si>
  <si>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</si>
  <si>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</si>
  <si>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</si>
  <si>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</si>
  <si>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</si>
  <si>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</si>
  <si>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</si>
  <si>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</si>
  <si>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</si>
  <si>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</si>
  <si>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</si>
  <si>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</si>
  <si>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</si>
  <si>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</si>
  <si>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</si>
  <si>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</si>
  <si>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</si>
  <si>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</si>
  <si>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</si>
  <si>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</si>
  <si>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</si>
  <si>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</si>
  <si>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</si>
  <si>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</si>
  <si>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</si>
  <si>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</si>
  <si>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</si>
  <si>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</si>
  <si>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</si>
  <si>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</si>
  <si>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</si>
  <si>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</si>
  <si>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</si>
  <si>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</si>
  <si>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</si>
  <si>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</si>
  <si>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</si>
  <si>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</si>
  <si>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</si>
  <si>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</si>
  <si>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</si>
  <si>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</si>
  <si>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</si>
  <si>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</si>
  <si>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</si>
  <si>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</si>
  <si>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</si>
  <si>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</si>
  <si>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</si>
  <si>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</si>
  <si>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</si>
  <si>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</si>
  <si>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</si>
  <si>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</si>
  <si>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</si>
  <si>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</si>
  <si>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</si>
  <si>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</si>
  <si>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</si>
  <si>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</si>
  <si>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</si>
  <si>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</si>
  <si>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</si>
  <si>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</si>
  <si>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</si>
  <si>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</si>
  <si>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</si>
  <si>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</si>
  <si>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</si>
  <si>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</si>
  <si>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</si>
  <si>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</si>
  <si>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</si>
  <si>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</si>
  <si>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</si>
  <si>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</si>
  <si>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</si>
  <si>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</si>
  <si>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</si>
  <si>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</si>
  <si>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</si>
  <si>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</si>
  <si>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</si>
  <si>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</si>
  <si>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</si>
  <si>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</si>
  <si>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</si>
  <si>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</si>
  <si>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</si>
  <si>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</si>
  <si>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</si>
  <si>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</si>
  <si>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</si>
  <si>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</si>
  <si>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</si>
  <si>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</si>
  <si>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</si>
  <si>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</si>
  <si>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</si>
  <si>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</si>
  <si>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</si>
  <si>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</si>
  <si>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</si>
  <si>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</si>
  <si>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</si>
  <si>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</si>
  <si>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</si>
  <si>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</si>
  <si>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</si>
  <si>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</si>
  <si>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</si>
  <si>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</si>
  <si>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</si>
  <si>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</si>
  <si>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</si>
  <si>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</si>
  <si>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</si>
  <si>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</si>
  <si>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</si>
  <si>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</si>
  <si>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</si>
  <si>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</si>
  <si>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</si>
  <si>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</si>
  <si>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</si>
  <si>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</si>
  <si>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</si>
  <si>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</si>
  <si>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</si>
  <si>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</si>
  <si>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</si>
  <si>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</si>
  <si>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</si>
  <si>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</si>
  <si>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</si>
  <si>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</si>
  <si>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</si>
  <si>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</si>
  <si>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</si>
  <si>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</si>
  <si>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</si>
  <si>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</si>
  <si>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</si>
  <si>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</si>
  <si>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</si>
  <si>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</si>
  <si>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</si>
  <si>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</si>
  <si>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</si>
  <si>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</si>
  <si>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</si>
  <si>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</si>
  <si>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</si>
  <si>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</si>
  <si>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</si>
  <si>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</si>
  <si>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</si>
  <si>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</si>
  <si>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</si>
  <si>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</si>
  <si>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</si>
  <si>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</si>
  <si>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</si>
  <si>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</si>
  <si>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</si>
  <si>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</si>
  <si>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</si>
  <si>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</si>
  <si>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</si>
  <si>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</si>
  <si>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</si>
  <si>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</si>
  <si>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</si>
  <si>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</si>
  <si>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</si>
  <si>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</si>
  <si>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</si>
  <si>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</si>
  <si>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</si>
  <si>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</si>
  <si>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</si>
  <si>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</si>
  <si>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</si>
  <si>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</si>
  <si>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</si>
  <si>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</si>
  <si>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</si>
  <si>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</si>
  <si>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</si>
  <si>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</si>
  <si>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</si>
  <si>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</si>
  <si>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</si>
  <si>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</si>
  <si>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Net impairment allowance</t>
  </si>
  <si>
    <t>Non-financial assets' write-downs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</si>
  <si>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</si>
  <si>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</si>
  <si>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</si>
  <si>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</si>
  <si>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</si>
  <si>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</si>
  <si>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</si>
  <si>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</si>
  <si>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</si>
  <si>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</si>
  <si>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</si>
  <si>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</si>
  <si>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</si>
  <si>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</si>
  <si>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</si>
  <si>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</si>
  <si>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</si>
  <si>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</si>
  <si>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</si>
  <si>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</si>
  <si>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</si>
  <si>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</si>
  <si>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</si>
  <si>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</si>
  <si>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</si>
  <si>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</si>
  <si>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</si>
  <si>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</si>
  <si>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</si>
  <si>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</si>
  <si>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</si>
  <si>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</si>
  <si>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</si>
  <si>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</si>
  <si>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</si>
  <si>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</si>
  <si>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</si>
  <si>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</si>
  <si>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</si>
  <si>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</si>
  <si>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</si>
  <si>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</si>
  <si>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</si>
  <si>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</si>
  <si>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</si>
  <si>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</si>
  <si>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</si>
  <si>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</si>
  <si>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</si>
  <si>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</si>
  <si>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</si>
  <si>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</si>
  <si>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</si>
  <si>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</si>
  <si>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</si>
  <si>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</si>
  <si>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</si>
  <si>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</si>
  <si>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</si>
  <si>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</si>
  <si>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</si>
  <si>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</si>
  <si>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</si>
  <si>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</si>
  <si>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</si>
  <si>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</si>
  <si>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</si>
  <si>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</si>
  <si>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</si>
  <si>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</si>
  <si>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</si>
  <si>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</si>
  <si>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</si>
  <si>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</si>
  <si>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</si>
  <si>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</si>
  <si>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</si>
  <si>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</si>
  <si>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</si>
  <si>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</si>
  <si>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</si>
  <si>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</si>
  <si>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</si>
  <si>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</si>
  <si>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</si>
  <si>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</si>
  <si>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</si>
  <si>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</si>
  <si>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</si>
  <si>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</si>
  <si>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</si>
  <si>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</si>
  <si>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</si>
  <si>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</si>
  <si>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</si>
  <si>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</si>
  <si>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</si>
  <si>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</si>
  <si>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</si>
  <si>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</si>
  <si>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</si>
  <si>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</si>
  <si>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</si>
  <si>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</si>
  <si>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</si>
  <si>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</si>
  <si>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</si>
  <si>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</si>
  <si>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</si>
  <si>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</si>
  <si>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</si>
  <si>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</si>
  <si>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</si>
  <si>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</si>
  <si>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</si>
  <si>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</si>
  <si>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</si>
  <si>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</si>
  <si>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</si>
  <si>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</si>
  <si>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</si>
  <si>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</si>
  <si>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</si>
  <si>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</si>
  <si>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</si>
  <si>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</si>
  <si>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</si>
  <si>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</si>
  <si>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</si>
  <si>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</si>
  <si>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</si>
  <si>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</si>
  <si>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</si>
  <si>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</si>
  <si>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</si>
  <si>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</si>
  <si>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</si>
  <si>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</si>
  <si>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</si>
  <si>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</si>
  <si>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</si>
  <si>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</si>
  <si>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</si>
  <si>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</si>
  <si>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</si>
  <si>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</si>
  <si>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</si>
  <si>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</si>
  <si>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</si>
  <si>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</si>
  <si>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</si>
  <si>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</si>
  <si>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</si>
  <si>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</si>
  <si>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</si>
  <si>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</si>
  <si>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</si>
  <si>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</si>
  <si>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</si>
  <si>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</si>
  <si>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</si>
  <si>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</si>
  <si>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</si>
  <si>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</si>
  <si>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</si>
  <si>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</si>
  <si>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</si>
  <si>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</si>
  <si>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</si>
  <si>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</si>
  <si>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</si>
  <si>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</si>
  <si>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</si>
  <si>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</si>
  <si>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</si>
  <si>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</si>
  <si>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</si>
  <si>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</si>
  <si>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</si>
  <si>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</si>
  <si>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</si>
  <si>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</si>
  <si>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</si>
  <si>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</si>
  <si>
    <t>Spis treści</t>
  </si>
  <si>
    <t>Wpłacony kapitał</t>
  </si>
  <si>
    <t>Pozostałe kapitały</t>
  </si>
  <si>
    <t>Zysk zweryfikowany przez biegłego rewidenta</t>
  </si>
  <si>
    <t>Kapitał z aktualizacji wyceny - niezrealizowane straty</t>
  </si>
  <si>
    <t>Wartości niematerialne wycenione według wartości bilansowej</t>
  </si>
  <si>
    <t>Kapitał z aktualizacji wyceny - niezrealizowane zyski</t>
  </si>
  <si>
    <t>Dodatkowe korekty wartości – korekta AVA</t>
  </si>
  <si>
    <t>Paid-up capital</t>
  </si>
  <si>
    <t>Supplementary capital</t>
  </si>
  <si>
    <t>Other reserves</t>
  </si>
  <si>
    <t>Current year's reviewed by auditor</t>
  </si>
  <si>
    <t>Accumulated losses</t>
  </si>
  <si>
    <t>Revaluation reserve – unrealised losses</t>
  </si>
  <si>
    <t>Intangible assets measured at carrying value</t>
  </si>
  <si>
    <t>Revaluation reserve – unrealised profit</t>
  </si>
  <si>
    <t>Additional value adjustments - AVA</t>
  </si>
  <si>
    <t>Subordinated liabilities</t>
  </si>
  <si>
    <t>Pozostałe pozycje korygujące (korekty okresu przejściowego dotyczące MSSF 9, niedobór pokrycia z tytułu ekspozycji nieobsługiwanych, aktywa z tytułu odroczonego podatku dochodowego)</t>
  </si>
  <si>
    <t>Other adjustments items (adjustments for IFRS 9, non-performing exposures coverage gap, deferred tax assets)</t>
  </si>
  <si>
    <t>ROE</t>
  </si>
  <si>
    <t>ROA</t>
  </si>
  <si>
    <t>C/I</t>
  </si>
  <si>
    <t>CoR</t>
  </si>
  <si>
    <t>L/D</t>
  </si>
  <si>
    <t>NPL</t>
  </si>
  <si>
    <t>NPL coverage</t>
  </si>
  <si>
    <t>TCR</t>
  </si>
  <si>
    <t>TIER 1</t>
  </si>
  <si>
    <t>NPL wskaźnik pokrycia</t>
  </si>
  <si>
    <t>Items that may be reclassified to the income statement after certain conditions
are satisfied</t>
  </si>
  <si>
    <t>Results of the measurement of financial assets (net)</t>
  </si>
  <si>
    <t>Profit/loss on valuation of financial assets measured at fair value through other
comprehensive income</t>
  </si>
  <si>
    <t>Deferred tax</t>
  </si>
  <si>
    <t>Results on the measurement of hedging instruments (net)</t>
  </si>
  <si>
    <t>Gains/losses on hedging instruments</t>
  </si>
  <si>
    <t>- attributable to shareholders of the parent company</t>
  </si>
  <si>
    <t>Zysk netto</t>
  </si>
  <si>
    <t>Pozostałe całkowite dochody netto, które będą odniesione na wynik po
spełnieniu odpowiednich warunków</t>
  </si>
  <si>
    <t>Skutki wyceny aktywów finansowych (netto)</t>
  </si>
  <si>
    <t>Podatek odroczony</t>
  </si>
  <si>
    <t>Skutki wyceny instrumentów zabezpieczających (netto)</t>
  </si>
  <si>
    <t>Zysk/strata z tytułu wyceny instrumentów zabezpieczających</t>
  </si>
  <si>
    <t>Razem dochody całkowite netto</t>
  </si>
  <si>
    <t>- przypadające akcjonariuszom jednostki dominującej</t>
  </si>
  <si>
    <t>Total comprehensive income (net)</t>
  </si>
  <si>
    <t>Skonsolidowane sprawozdanie z całkowitych dochodów</t>
  </si>
  <si>
    <t>Condensed consolidated statement of comprehensive income</t>
  </si>
  <si>
    <t>RZiS</t>
  </si>
  <si>
    <t>P&amp;L</t>
  </si>
  <si>
    <t>Pozostałe przychody operacyjne z tytułu:</t>
  </si>
  <si>
    <t>przychody ze sprzedaży usług</t>
  </si>
  <si>
    <t>odzyskane koszty windykacji</t>
  </si>
  <si>
    <t>otrzymane odszkodowania, odzyski, kary i grzywny</t>
  </si>
  <si>
    <t>z tytułu zarządzania majątkiem osób trzecich</t>
  </si>
  <si>
    <t>opłaty licencyjne od Partnerów</t>
  </si>
  <si>
    <t>korekta z tytułu rozliczenia VAT</t>
  </si>
  <si>
    <t>rozwiązanie odpisów aktualizujących z tytułu utraty wartości innych
aktywów</t>
  </si>
  <si>
    <t>Pozostałe koszty operacyjne z tytułu:</t>
  </si>
  <si>
    <t>koszty związane z dochodzeniem należności i roszczeń spornych</t>
  </si>
  <si>
    <t>zapłacone odszkodowania kary i grzywny</t>
  </si>
  <si>
    <t>koszty z tytułu reklamacji</t>
  </si>
  <si>
    <t>odpisy aktualizujące z tytułu utraty wartości innych aktywów</t>
  </si>
  <si>
    <t>Wynik z pozostałych przychodów i kosztów operacyjnych</t>
  </si>
  <si>
    <t>Other operating income from:</t>
  </si>
  <si>
    <t>income from contracts with business partners</t>
  </si>
  <si>
    <t>reimbursement of costs of claim enforcement</t>
  </si>
  <si>
    <t>received compensations, recoveries, penalties and fines</t>
  </si>
  <si>
    <t>management of third-party assets</t>
  </si>
  <si>
    <t>from license fees from Partners</t>
  </si>
  <si>
    <t>due to VAT settlement</t>
  </si>
  <si>
    <t>reversal of impairment losses on other assets</t>
  </si>
  <si>
    <t>Other operating expenses due to:</t>
  </si>
  <si>
    <t>fees and costs of claim enforcement</t>
  </si>
  <si>
    <t>paid compensations, fines, and penalties</t>
  </si>
  <si>
    <t>recognition of complaints</t>
  </si>
  <si>
    <t>impairment losses on other assets</t>
  </si>
  <si>
    <t>Net other operating income and expense</t>
  </si>
  <si>
    <t>Zysk brutto</t>
  </si>
  <si>
    <t>Podatek dochodowy 19%</t>
  </si>
  <si>
    <t>Koszty niestanowiące kosztów uzyskania przychodu (efekt podatkowy)</t>
  </si>
  <si>
    <t>Koszty reprezentacji</t>
  </si>
  <si>
    <t>Opłata na rzecz BFG</t>
  </si>
  <si>
    <t>Podatek od niektórych instytucji finansowych</t>
  </si>
  <si>
    <t>Darowizny</t>
  </si>
  <si>
    <t>Fundusz Wsparcia Kredytobiorców</t>
  </si>
  <si>
    <t>Inne</t>
  </si>
  <si>
    <t>Przychody niepodlegające opodatkowaniu (efekt podatkowy)</t>
  </si>
  <si>
    <t>Rozliczenie straty podatkowej</t>
  </si>
  <si>
    <t>Podatek księgowy ujęty w rachunku zysków i strat</t>
  </si>
  <si>
    <t>Efektywna stawka podatkowa</t>
  </si>
  <si>
    <t>Effective tax rate calculation</t>
  </si>
  <si>
    <t>Income tax at 19%</t>
  </si>
  <si>
    <t>Non-tax-deductible expenses (tax effect)</t>
  </si>
  <si>
    <t>Representations costs</t>
  </si>
  <si>
    <t>Impairment losses on loans not deductible for tax purposes</t>
  </si>
  <si>
    <t>Prudential fee to BGF</t>
  </si>
  <si>
    <t>Tax on Certain Financial Institutions</t>
  </si>
  <si>
    <t>Donations</t>
  </si>
  <si>
    <t>Borrowers Support Fund</t>
  </si>
  <si>
    <t>Non-taxable income (tax effect)</t>
  </si>
  <si>
    <t>Recognition of tax loss</t>
  </si>
  <si>
    <t>Accounting tax recognized in the income statement</t>
  </si>
  <si>
    <t>Effective tax rate</t>
  </si>
  <si>
    <t>Kalkulacja efektywnej stawki podatkowej</t>
  </si>
  <si>
    <t>Result on other operating income and expense</t>
  </si>
  <si>
    <t>Table of contents</t>
  </si>
  <si>
    <t>Selected financial indicators</t>
  </si>
  <si>
    <t>Wybrane wskaźniki finansowe</t>
  </si>
  <si>
    <t>Koszty działania</t>
  </si>
  <si>
    <t>Wynik z tytułu odpisów na straty oczekiwane</t>
  </si>
  <si>
    <t>P&amp;L by segment</t>
  </si>
  <si>
    <t>RZiS według segmentów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</si>
  <si>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</si>
  <si>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Rezerwy na należności kredytowe w części niepokrytej podatkiem odroczonym</t>
  </si>
  <si>
    <t>I-IIQ 15</t>
  </si>
  <si>
    <t>I-IIIQ 15</t>
  </si>
  <si>
    <t>I-IVQ 15</t>
  </si>
  <si>
    <t>I-II kw.15</t>
  </si>
  <si>
    <t>I-III kw.15</t>
  </si>
  <si>
    <t>I-IV kw.15</t>
  </si>
  <si>
    <t>I-IIQ 16</t>
  </si>
  <si>
    <t>I-IIIQ 16</t>
  </si>
  <si>
    <t>I-IVQ 16</t>
  </si>
  <si>
    <t>I-II kw.16</t>
  </si>
  <si>
    <t>I-III kw.16</t>
  </si>
  <si>
    <t>I-IV kw.16</t>
  </si>
  <si>
    <t>I-IIQ 17</t>
  </si>
  <si>
    <t>I-IIIQ 17</t>
  </si>
  <si>
    <t>I-IVQ 17</t>
  </si>
  <si>
    <t>I-II kw.17</t>
  </si>
  <si>
    <t>I-III kw.17</t>
  </si>
  <si>
    <t>I-IV kw.17</t>
  </si>
  <si>
    <t>IVQ 22</t>
  </si>
  <si>
    <t>IV kw.22</t>
  </si>
  <si>
    <t>I-IVQ 22</t>
  </si>
  <si>
    <t>I-IV kw.22</t>
  </si>
  <si>
    <t>zysk na okazyjnym nabyciu SKOK</t>
  </si>
  <si>
    <t xml:space="preserve">bargain purchase in connection with the acquisition of SKOK </t>
  </si>
  <si>
    <t>Odpis z tytułu utraty wartości firmy</t>
  </si>
  <si>
    <t xml:space="preserve">Goodwill impairment </t>
  </si>
  <si>
    <t>Zysk/strata z tytułu wyceny aktywów finansowych wycenianych w wartości godziwej przez inne całkowite dochody</t>
  </si>
  <si>
    <t>n/a</t>
  </si>
  <si>
    <t>IQ 23</t>
  </si>
  <si>
    <t>I kw.23</t>
  </si>
  <si>
    <t>IVQ 22*</t>
  </si>
  <si>
    <t>IV kw.22*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</si>
  <si>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</si>
  <si>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*On March 16, 2023, PFSA allowed the inclusion of 2022 consolidated net profit to Tier 1 capital of Alior Bank Group. Including 2022 net profit caused an adjustment of own capital to PLN bn 7.5 and a change in ratios</t>
  </si>
  <si>
    <t>IIQ 23</t>
  </si>
  <si>
    <t>II kw.23</t>
  </si>
  <si>
    <t>I-IIQ 23</t>
  </si>
  <si>
    <t>I-II kw.23</t>
  </si>
  <si>
    <t>I-IIIQ 23</t>
  </si>
  <si>
    <t>I-III kw.23</t>
  </si>
  <si>
    <t>IIIQ 23</t>
  </si>
  <si>
    <t>III kw.23</t>
  </si>
  <si>
    <t>Net fee and commission</t>
  </si>
  <si>
    <t>Wynik prowizyjny</t>
  </si>
  <si>
    <t>I-IVQ 23</t>
  </si>
  <si>
    <t>I-IV kw.23</t>
  </si>
  <si>
    <t>IVQ 23</t>
  </si>
  <si>
    <t>IV kw.23</t>
  </si>
  <si>
    <t>koszty rezerw na sprawy sporne</t>
  </si>
  <si>
    <t>Zmiana wyceny do wartości godziwej z tytułu zabezpieczanego ryzyka</t>
  </si>
  <si>
    <t>Change in fair value measurement of hedged items in portfolio hedge against interest rate risk</t>
  </si>
  <si>
    <t>provision for legal claims</t>
  </si>
  <si>
    <t>IQ 24</t>
  </si>
  <si>
    <t>I kw.24</t>
  </si>
  <si>
    <t>Przychody z tytułu odsetek obliczone przy zastosowaniu metody efektywnej stopy procentowej</t>
  </si>
  <si>
    <t>rzeczowe aktywa trwałe</t>
  </si>
  <si>
    <t>Odpisy na straty oczekiwane 1 i 2 (ECL)</t>
  </si>
  <si>
    <t xml:space="preserve">Odpisy na straty oczekiwane Koszyk 3 </t>
  </si>
  <si>
    <t>Papiery wartościowe</t>
  </si>
  <si>
    <t>Wynik z tytułu odpisów na straty oczekiwane, odpisów aktualizujących z tytułu utraty wartości i rezerw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</si>
</sst>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0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55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 applyFill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3" borderId="1" xfId="0" applyNumberFormat="1" applyFont="1" applyFill="1" applyBorder="1" applyAlignment="1">
      <alignment vertical="center" wrapText="1"/>
    </xf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3" fontId="10" fillId="5" borderId="0" xfId="0" applyNumberFormat="1" applyFont="1" applyFill="1" applyBorder="1" applyAlignment="1">
      <alignment horizontal="right" vertical="center" wrapText="1"/>
    </xf>
    <xf numFmtId="3" fontId="10" fillId="4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center" wrapText="1"/>
    </xf>
    <xf numFmtId="3" fontId="11" fillId="3" borderId="0" xfId="0" applyNumberFormat="1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11" fillId="5" borderId="0" xfId="0" applyNumberFormat="1" applyFont="1" applyFill="1" applyBorder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2" fillId="0" borderId="0" xfId="0" applyNumberFormat="1" applyFont="1"/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vertical="center" wrapText="1"/>
    </xf>
    <xf numFmtId="0" fontId="11" fillId="3" borderId="0" xfId="4" applyFont="1" applyFill="1" applyBorder="1" applyAlignment="1">
      <alignment vertical="center" wrapText="1"/>
    </xf>
    <xf numFmtId="3" fontId="11" fillId="3" borderId="0" xfId="4" applyNumberFormat="1" applyFont="1" applyFill="1" applyBorder="1" applyAlignment="1">
      <alignment horizontal="right" vertical="center" wrapText="1"/>
    </xf>
    <xf numFmtId="0" fontId="10" fillId="4" borderId="0" xfId="4" applyFont="1" applyFill="1" applyBorder="1" applyAlignment="1">
      <alignment vertical="center" wrapText="1"/>
    </xf>
    <xf numFmtId="3" fontId="10" fillId="4" borderId="0" xfId="4" applyNumberFormat="1" applyFont="1" applyFill="1" applyBorder="1" applyAlignment="1">
      <alignment horizontal="right" vertical="center" wrapText="1"/>
    </xf>
    <xf numFmtId="3" fontId="11" fillId="3" borderId="0" xfId="0" applyNumberFormat="1" applyFont="1" applyFill="1" applyBorder="1" applyAlignment="1">
      <alignment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3" fontId="12" fillId="3" borderId="0" xfId="0" applyNumberFormat="1" applyFont="1" applyFill="1" applyBorder="1" applyAlignment="1">
      <alignment vertical="center" wrapText="1"/>
    </xf>
    <xf numFmtId="0" fontId="13" fillId="0" borderId="0" xfId="0" applyFont="1"/>
    <xf numFmtId="0" fontId="11" fillId="5" borderId="0" xfId="3" applyFont="1" applyFill="1" applyBorder="1" applyAlignment="1">
      <alignment vertical="center" wrapText="1"/>
    </xf>
    <xf numFmtId="0" fontId="10" fillId="5" borderId="0" xfId="0" applyFont="1" applyFill="1" applyAlignment="1">
      <alignment vertical="center" wrapText="1"/>
    </xf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1" fillId="5" borderId="0" xfId="3" applyNumberFormat="1" applyFont="1" applyFill="1" applyBorder="1" applyAlignment="1">
      <alignment vertical="center" wrapText="1"/>
    </xf>
    <xf numFmtId="3" fontId="10" fillId="2" borderId="0" xfId="0" applyNumberFormat="1" applyFont="1" applyFill="1"/>
    <xf numFmtId="0" fontId="10" fillId="2" borderId="0" xfId="3" applyFont="1" applyFill="1" applyBorder="1" applyAlignment="1">
      <alignment vertical="center" wrapText="1"/>
    </xf>
    <xf numFmtId="166" fontId="8" fillId="0" borderId="0" xfId="0" applyNumberFormat="1" applyFont="1"/>
    <xf numFmtId="3" fontId="11" fillId="5" borderId="0" xfId="3" applyNumberFormat="1" applyFont="1" applyFill="1" applyAlignment="1">
      <alignment vertical="center" wrapText="1"/>
    </xf>
    <xf numFmtId="3" fontId="11" fillId="3" borderId="0" xfId="3" applyNumberFormat="1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/>
    </xf>
    <xf numFmtId="0" fontId="210" fillId="4" borderId="0" xfId="0" applyFont="1" applyFill="1" applyBorder="1" applyAlignment="1">
      <alignment vertical="center" wrapText="1"/>
    </xf>
    <xf numFmtId="3" fontId="210" fillId="4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/>
    <xf numFmtId="3" fontId="8" fillId="4" borderId="0" xfId="0" applyNumberFormat="1" applyFont="1" applyFill="1" applyBorder="1"/>
    <xf numFmtId="3" fontId="211" fillId="4" borderId="0" xfId="0" applyNumberFormat="1" applyFont="1" applyFill="1" applyBorder="1" applyAlignment="1">
      <alignment vertical="center" wrapText="1"/>
    </xf>
    <xf numFmtId="0" fontId="8" fillId="0" borderId="0" xfId="0" applyFont="1" applyBorder="1"/>
    <xf numFmtId="0" fontId="7" fillId="8" borderId="0" xfId="0" applyFont="1" applyFill="1" applyBorder="1" applyAlignment="1">
      <alignment horizontal="center" vertical="center" wrapText="1"/>
    </xf>
    <xf numFmtId="0" fontId="213" fillId="0" borderId="0" xfId="41906" applyFont="1" applyBorder="1"/>
    <xf numFmtId="0" fontId="9" fillId="0" borderId="0" xfId="0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3" fontId="215" fillId="0" borderId="0" xfId="0" applyNumberFormat="1" applyFont="1" applyFill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0" borderId="0" xfId="0" applyFont="1" applyAlignment="1"/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/>
    </xf>
    <xf numFmtId="0" fontId="10" fillId="4" borderId="0" xfId="3" applyFont="1" applyFill="1" applyBorder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Border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12" fillId="4" borderId="0" xfId="40715" applyFont="1" applyFill="1" applyAlignment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Border="1" applyAlignment="1">
      <alignment horizontal="right"/>
    </xf>
    <xf numFmtId="3" fontId="11" fillId="4" borderId="0" xfId="4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vertical="center" wrapText="1"/>
    </xf>
    <xf numFmtId="0" fontId="210" fillId="4" borderId="0" xfId="0" applyFont="1" applyFill="1" applyAlignment="1">
      <alignment vertical="center" wrapText="1"/>
    </xf>
    <xf numFmtId="10" fontId="12" fillId="4" borderId="0" xfId="0" applyNumberFormat="1" applyFont="1" applyFill="1" applyBorder="1" applyAlignment="1">
      <alignment horizontal="right"/>
    </xf>
    <xf numFmtId="3" fontId="218" fillId="4" borderId="0" xfId="0" applyNumberFormat="1" applyFont="1" applyFill="1" applyBorder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Border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Border="1" applyAlignment="1">
      <alignment horizontal="right" vertical="center" wrapText="1"/>
    </xf>
    <xf numFmtId="3" fontId="210" fillId="4" borderId="0" xfId="0" applyNumberFormat="1" applyFont="1" applyFill="1" applyBorder="1" applyAlignment="1">
      <alignment horizontal="right" vertical="center" wrapText="1"/>
    </xf>
    <xf numFmtId="3" fontId="217" fillId="4" borderId="0" xfId="0" applyNumberFormat="1" applyFont="1" applyFill="1" applyBorder="1" applyAlignment="1">
      <alignment horizontal="right"/>
    </xf>
    <xf numFmtId="3" fontId="12" fillId="4" borderId="0" xfId="0" applyNumberFormat="1" applyFont="1" applyFill="1" applyBorder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Border="1" applyAlignment="1">
      <alignment horizontal="right" vertical="center" wrapText="1"/>
    </xf>
    <xf numFmtId="3" fontId="217" fillId="4" borderId="0" xfId="4" applyNumberFormat="1" applyFont="1" applyFill="1" applyBorder="1" applyAlignment="1">
      <alignment horizontal="right" vertical="center" wrapText="1"/>
    </xf>
    <xf numFmtId="0" fontId="10" fillId="2" borderId="0" xfId="3" applyFont="1" applyFill="1" applyBorder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  <xf numFmtId="3" fontId="10" fillId="2" borderId="60" xfId="0" applyNumberFormat="1" applyFont="1" applyFill="1" applyBorder="1" applyAlignment="1">
      <alignment horizontal="right" vertical="center" wrapText="1"/>
    </xf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1284643</xdr:colOff>
      <xdr:row>4</xdr:row>
      <xdr:rowOff>47925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32289\Desktop\Banki%20-%20dane%20rynkowe\mBank\IVQ%202020\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zSF/SSO/Spr_Finansowe/20180630/Ostateczne/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tabSelected="1" zoomScaleNormal="100" workbookViewId="0">
      <selection activeCell="D14" sqref="D14"/>
    </sheetView>
  </sheetViews>
  <sheetFormatPr defaultColWidth="8.6640625" defaultRowHeight="13"/>
  <cols>
    <col min="1" max="1" width="8.6640625" style="3"/>
    <col min="2" max="3" width="50.6640625" style="98" customWidth="1"/>
    <col min="4" max="16384" width="8.6640625" style="3"/>
  </cols>
  <sheetData>
    <row r="1" spans="2:3" ht="13" customHeight="1"/>
    <row r="2" spans="2:3" ht="13" customHeight="1"/>
    <row r="3" spans="2:3" ht="13" customHeight="1"/>
    <row r="4" spans="2:3" ht="13" customHeight="1"/>
    <row r="5" spans="2:3" ht="13" customHeight="1"/>
    <row r="6" spans="2:3" ht="13" customHeight="1">
      <c r="B6" s="96" t="s">
        <v>634</v>
      </c>
      <c r="C6" s="96" t="s">
        <v>528</v>
      </c>
    </row>
    <row r="7" spans="2:3" ht="13" customHeight="1"/>
    <row r="8" spans="2:3" ht="13" customHeight="1">
      <c r="B8" s="97" t="str">
        <f>HYPERLINK("#Wskaźniki!A2",Wskaźniki!A2)</f>
        <v>Selected financial indicators</v>
      </c>
      <c r="C8" s="97" t="str">
        <f>HYPERLINK("#Wskaźniki!B2",Wskaźniki!B2)</f>
        <v>Wybrane wskaźniki finansowe</v>
      </c>
    </row>
    <row r="9" spans="2:3" ht="13" customHeight="1">
      <c r="B9" s="124" t="str">
        <f>HYPERLINK("#BILANS!A2","Balance sheet")</f>
        <v>Balance sheet</v>
      </c>
      <c r="C9" s="97" t="str">
        <f>HYPERLINK("#BILANS!B2","Bilans")</f>
        <v>Bilans</v>
      </c>
    </row>
    <row r="10" spans="2:3" ht="13" customHeight="1">
      <c r="B10" s="97" t="str">
        <f>HYPERLINK("#RZiS!A2",RZiS!A2)</f>
        <v>P&amp;L</v>
      </c>
      <c r="C10" s="97" t="str">
        <f>HYPERLINK("#RZiS!B2",RZiS!B2)</f>
        <v>RZiS</v>
      </c>
    </row>
    <row r="11" spans="2:3" ht="13" customHeight="1">
      <c r="B11" s="97" t="str">
        <f>HYPERLINK("#RZiS!A34",RZiS!A34)</f>
        <v>Condensed consolidated statement of comprehensive income</v>
      </c>
      <c r="C11" s="97" t="str">
        <f>HYPERLINK("#RZiS!B34",RZiS!B34)</f>
        <v>Skonsolidowane sprawozdanie z całkowitych dochodów</v>
      </c>
    </row>
    <row r="12" spans="2:3" ht="13" customHeight="1">
      <c r="B12" s="97" t="str">
        <f>HYPERLINK("#Odsetki!A2",Odsetki!A37)</f>
        <v>Net interest income</v>
      </c>
      <c r="C12" s="97" t="str">
        <f>HYPERLINK("#Odsetki!B2",Odsetki!B37)</f>
        <v>Wynik z tytułu odsetek</v>
      </c>
    </row>
    <row r="13" spans="2:3" ht="13" customHeight="1">
      <c r="B13" s="97" t="str">
        <f>HYPERLINK("#Prowizje!A3",Prowizje!A30)</f>
        <v xml:space="preserve">Net fee and commission income </v>
      </c>
      <c r="C13" s="97" t="str">
        <f>HYPERLINK("#Prowizje!B3",Prowizje!B30)</f>
        <v>Wynik z tytułu prowizji i opłat</v>
      </c>
    </row>
    <row r="14" spans="2:3" ht="13" customHeight="1">
      <c r="B14" s="97" t="str">
        <f>HYPERLINK("#PPiK!A2",PPiK!A2)</f>
        <v>Result on other operating income and expense</v>
      </c>
      <c r="C14" s="97" t="str">
        <f>HYPERLINK("#PPiK!B2",PPiK!B2)</f>
        <v>Wynik z tytułu pozostałych przychodów i kosztów operacyjnych</v>
      </c>
    </row>
    <row r="15" spans="2:3" ht="13" customHeight="1">
      <c r="B15" s="97" t="str">
        <f>HYPERLINK("#Koszty_dz!A2",Koszty_dz!A2)</f>
        <v>General administrative expenses</v>
      </c>
      <c r="C15" s="97" t="str">
        <f>HYPERLINK("#Koszty_dz!B2",Koszty_dz!B2)</f>
        <v>Koszty działania</v>
      </c>
    </row>
    <row r="16" spans="2:3" ht="13" customHeight="1">
      <c r="B16" s="97" t="str">
        <f>HYPERLINK("#Wynik_z_odpisów!A2",Wynik_z_odpisów!A2)</f>
        <v>Net expected credit losses</v>
      </c>
      <c r="C16" s="124" t="str">
        <f>HYPERLINK("#Wynik_z_odpisów!B2",Wynik_z_odpisów!B2)</f>
        <v>Wynik z tytułu odpisów na straty oczekiwane</v>
      </c>
    </row>
    <row r="17" spans="2:3" ht="13" customHeight="1">
      <c r="B17" s="97" t="str">
        <f>HYPERLINK("#Kredyty!A2",Kredyty!A2)</f>
        <v>Loans and advances to customers- net value</v>
      </c>
      <c r="C17" s="97" t="str">
        <f>HYPERLINK("#Kredyty!B2",Kredyty!B2)</f>
        <v>Kredyty i pożyczki udzielone klientom -wartość netto</v>
      </c>
    </row>
    <row r="18" spans="2:3" ht="13" customHeight="1">
      <c r="B18" s="97" t="str">
        <f>HYPERLINK("#Kredyty_koszyki!A2",Kredyty_koszyki!A2)</f>
        <v>Loans and advances to customers</v>
      </c>
      <c r="C18" s="97" t="str">
        <f>HYPERLINK("#Kredyty_koszyki!B2",Kredyty_koszyki!B2)</f>
        <v>Kredyty i pożyczki udzielone klientom</v>
      </c>
    </row>
    <row r="19" spans="2:3" ht="13" customHeight="1">
      <c r="B19" s="97" t="str">
        <f>HYPERLINK("#Zobowiazania!A2",Zobowiazania!A2)</f>
        <v>By customer type and segment</v>
      </c>
      <c r="C19" s="97" t="str">
        <f>HYPERLINK("#Zobowiazania!B2",Zobowiazania!B2)</f>
        <v>Według struktury rodzajowej i segmentu klientów</v>
      </c>
    </row>
    <row r="20" spans="2:3" ht="13" customHeight="1">
      <c r="B20" s="124" t="str">
        <f>HYPERLINK("#Podatek!A2",Podatek!A2)</f>
        <v>Effective tax rate calculation</v>
      </c>
      <c r="C20" s="124" t="str">
        <f>HYPERLINK("#Podatek!B2",Podatek!B2)</f>
        <v>Kalkulacja efektywnej stawki podatkowej</v>
      </c>
    </row>
    <row r="21" spans="2:3" ht="13" customHeight="1">
      <c r="B21" s="97" t="str">
        <f>HYPERLINK("#Segmenty!B3",Segmenty!B3)</f>
        <v>P&amp;L by segment</v>
      </c>
      <c r="C21" s="97" t="str">
        <f>HYPERLINK("#Segmenty!C3",Segmenty!C3)</f>
        <v>RZiS według segmentów</v>
      </c>
    </row>
    <row r="22" spans="2:3" ht="13" customHeight="1">
      <c r="B22" s="97" t="str">
        <f>HYPERLINK("#CRR!A3",CRR!A3)</f>
        <v>Capital Adequacy</v>
      </c>
      <c r="C22" s="97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M19"/>
  <sheetViews>
    <sheetView zoomScaleNormal="100" workbookViewId="0">
      <pane xSplit="2" ySplit="2" topLeftCell="AI3" activePane="bottomRight" state="frozen"/>
      <selection sqref="A1:B1048576"/>
      <selection pane="topRight" sqref="A1:B1048576"/>
      <selection pane="bottomLeft" sqref="A1:B1048576"/>
      <selection pane="bottomRight" activeCell="AM17" sqref="AM17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</row>
    <row r="2" spans="1:39" ht="13" customHeight="1" thickBot="1">
      <c r="A2" s="1" t="s">
        <v>309</v>
      </c>
      <c r="B2" s="1" t="s">
        <v>149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</row>
    <row r="3" spans="1:39" ht="13" customHeight="1">
      <c r="A3" s="39" t="s">
        <v>300</v>
      </c>
      <c r="B3" s="39" t="s">
        <v>134</v>
      </c>
      <c r="C3" s="40">
        <f t="shared" ref="C3:P3" si="0">SUM(C4:C6)</f>
        <v>15726981</v>
      </c>
      <c r="D3" s="40">
        <f t="shared" si="0"/>
        <v>16048478</v>
      </c>
      <c r="E3" s="40">
        <f t="shared" si="0"/>
        <v>16781333</v>
      </c>
      <c r="F3" s="40">
        <f t="shared" si="0"/>
        <v>17595314</v>
      </c>
      <c r="G3" s="40">
        <f t="shared" si="0"/>
        <v>18543906</v>
      </c>
      <c r="H3" s="40">
        <f t="shared" si="0"/>
        <v>19383787</v>
      </c>
      <c r="I3" s="40">
        <f t="shared" si="0"/>
        <v>20063410</v>
      </c>
      <c r="J3" s="40">
        <f t="shared" si="0"/>
        <v>25889424</v>
      </c>
      <c r="K3" s="40">
        <f t="shared" si="0"/>
        <v>26428371</v>
      </c>
      <c r="L3" s="40">
        <f t="shared" si="0"/>
        <v>26953659</v>
      </c>
      <c r="M3" s="40">
        <f t="shared" si="0"/>
        <v>27499084</v>
      </c>
      <c r="N3" s="40">
        <f t="shared" si="0"/>
        <v>28234726</v>
      </c>
      <c r="O3" s="40">
        <f t="shared" si="0"/>
        <v>27939667</v>
      </c>
      <c r="P3" s="40">
        <f t="shared" si="0"/>
        <v>28363076</v>
      </c>
      <c r="Q3" s="40">
        <f>SUM(Q4:Q6)</f>
        <v>28748628</v>
      </c>
      <c r="R3" s="40">
        <f t="shared" ref="R3:Z3" si="1">SUM(R4:R6)</f>
        <v>29443496</v>
      </c>
      <c r="S3" s="40">
        <f t="shared" si="1"/>
        <v>29853587</v>
      </c>
      <c r="T3" s="40">
        <f t="shared" si="1"/>
        <v>30392971</v>
      </c>
      <c r="U3" s="40">
        <f t="shared" si="1"/>
        <v>31020621</v>
      </c>
      <c r="V3" s="40">
        <f t="shared" si="1"/>
        <v>31842555</v>
      </c>
      <c r="W3" s="40">
        <f t="shared" si="1"/>
        <v>32346252</v>
      </c>
      <c r="X3" s="40">
        <f t="shared" si="1"/>
        <v>32451823</v>
      </c>
      <c r="Y3" s="40">
        <f t="shared" si="1"/>
        <v>33288397</v>
      </c>
      <c r="Z3" s="65">
        <f t="shared" si="1"/>
        <v>33893617</v>
      </c>
      <c r="AA3" s="65">
        <f t="shared" ref="AA3:AF3" si="2">SUM(AA4:AA6)</f>
        <v>34202932</v>
      </c>
      <c r="AB3" s="65">
        <f t="shared" si="2"/>
        <v>34693870</v>
      </c>
      <c r="AC3" s="65">
        <f t="shared" si="2"/>
        <v>35499363</v>
      </c>
      <c r="AD3" s="65">
        <f t="shared" si="2"/>
        <v>36392031</v>
      </c>
      <c r="AE3" s="65">
        <f t="shared" si="2"/>
        <v>36293755</v>
      </c>
      <c r="AF3" s="65">
        <f t="shared" si="2"/>
        <v>36081653</v>
      </c>
      <c r="AG3" s="65">
        <f t="shared" ref="AG3:AH3" si="3">SUM(AG4:AG6)</f>
        <v>35631490</v>
      </c>
      <c r="AH3" s="65">
        <f t="shared" si="3"/>
        <v>35229849</v>
      </c>
      <c r="AI3" s="65">
        <f t="shared" ref="AI3:AJ3" si="4">SUM(AI4:AI6)</f>
        <v>34839040</v>
      </c>
      <c r="AJ3" s="65">
        <f t="shared" si="4"/>
        <v>35081412</v>
      </c>
      <c r="AK3" s="65">
        <f t="shared" ref="AK3:AL3" si="5">SUM(AK4:AK6)</f>
        <v>36126650</v>
      </c>
      <c r="AL3" s="65">
        <f t="shared" si="5"/>
        <v>37995750</v>
      </c>
      <c r="AM3" s="65">
        <f t="shared" ref="AM3" si="6">SUM(AM4:AM6)</f>
        <v>39163374</v>
      </c>
    </row>
    <row r="4" spans="1:39" ht="13" customHeight="1">
      <c r="A4" s="41" t="s">
        <v>301</v>
      </c>
      <c r="B4" s="41" t="s">
        <v>135</v>
      </c>
      <c r="C4" s="42">
        <v>9653155</v>
      </c>
      <c r="D4" s="42">
        <v>9643537</v>
      </c>
      <c r="E4" s="42">
        <v>9898089</v>
      </c>
      <c r="F4" s="42">
        <v>10128455</v>
      </c>
      <c r="G4" s="42">
        <v>10563049</v>
      </c>
      <c r="H4" s="42">
        <v>10793093</v>
      </c>
      <c r="I4" s="42">
        <v>11039032</v>
      </c>
      <c r="J4" s="42">
        <v>16225031</v>
      </c>
      <c r="K4" s="42">
        <v>16309831</v>
      </c>
      <c r="L4" s="42">
        <v>16377187</v>
      </c>
      <c r="M4" s="42">
        <v>16500527</v>
      </c>
      <c r="N4" s="42">
        <v>16541861</v>
      </c>
      <c r="O4" s="42">
        <f>16077970-164202</f>
        <v>15913768</v>
      </c>
      <c r="P4" s="42">
        <f>16237883-167407</f>
        <v>16070476</v>
      </c>
      <c r="Q4" s="42">
        <f>16400051-165150</f>
        <v>16234901</v>
      </c>
      <c r="R4" s="42">
        <v>16528475</v>
      </c>
      <c r="S4" s="42">
        <v>16889153</v>
      </c>
      <c r="T4" s="42">
        <v>17356422</v>
      </c>
      <c r="U4" s="42">
        <v>17643177</v>
      </c>
      <c r="V4" s="42">
        <v>17819615</v>
      </c>
      <c r="W4" s="42">
        <v>17797520</v>
      </c>
      <c r="X4" s="42">
        <v>17487951</v>
      </c>
      <c r="Y4" s="42">
        <v>17371369</v>
      </c>
      <c r="Z4" s="66">
        <v>16827834</v>
      </c>
      <c r="AA4" s="66">
        <v>16604568</v>
      </c>
      <c r="AB4" s="66">
        <v>16682493</v>
      </c>
      <c r="AC4" s="66">
        <v>16852498</v>
      </c>
      <c r="AD4" s="66">
        <v>16674238</v>
      </c>
      <c r="AE4" s="66">
        <v>16352814</v>
      </c>
      <c r="AF4" s="66">
        <v>15990514</v>
      </c>
      <c r="AG4" s="66">
        <v>15610863</v>
      </c>
      <c r="AH4" s="66">
        <v>15115535</v>
      </c>
      <c r="AI4" s="66">
        <v>14946417</v>
      </c>
      <c r="AJ4" s="66">
        <v>14971501</v>
      </c>
      <c r="AK4" s="66">
        <v>14992698</v>
      </c>
      <c r="AL4" s="66">
        <v>14788921</v>
      </c>
      <c r="AM4" s="66">
        <v>14749964</v>
      </c>
    </row>
    <row r="5" spans="1:39" ht="13" customHeight="1">
      <c r="A5" s="41" t="s">
        <v>302</v>
      </c>
      <c r="B5" s="41" t="s">
        <v>136</v>
      </c>
      <c r="C5" s="42">
        <v>5396225</v>
      </c>
      <c r="D5" s="42">
        <v>5777712</v>
      </c>
      <c r="E5" s="42">
        <v>6243418</v>
      </c>
      <c r="F5" s="42">
        <v>6717911</v>
      </c>
      <c r="G5" s="42">
        <v>7115750</v>
      </c>
      <c r="H5" s="42">
        <v>7631468</v>
      </c>
      <c r="I5" s="42">
        <v>7939174</v>
      </c>
      <c r="J5" s="42">
        <v>8407632</v>
      </c>
      <c r="K5" s="42">
        <v>8729547</v>
      </c>
      <c r="L5" s="42">
        <v>9116799</v>
      </c>
      <c r="M5" s="42">
        <v>9385986</v>
      </c>
      <c r="N5" s="42">
        <v>9547786</v>
      </c>
      <c r="O5" s="42">
        <v>9745651</v>
      </c>
      <c r="P5" s="42">
        <v>9998610</v>
      </c>
      <c r="Q5" s="42">
        <v>10157045</v>
      </c>
      <c r="R5" s="42">
        <f>10352136</f>
        <v>10352136</v>
      </c>
      <c r="S5" s="42">
        <v>10532079</v>
      </c>
      <c r="T5" s="42">
        <v>10732556</v>
      </c>
      <c r="U5" s="42">
        <v>11037250</v>
      </c>
      <c r="V5" s="42">
        <v>11244540</v>
      </c>
      <c r="W5" s="42">
        <v>11613403</v>
      </c>
      <c r="X5" s="42">
        <v>11909986</v>
      </c>
      <c r="Y5" s="42">
        <v>12581336</v>
      </c>
      <c r="Z5" s="66">
        <v>13214132</v>
      </c>
      <c r="AA5" s="66">
        <v>13741275</v>
      </c>
      <c r="AB5" s="66">
        <v>14240485</v>
      </c>
      <c r="AC5" s="66">
        <v>14893919</v>
      </c>
      <c r="AD5" s="66">
        <v>15434255</v>
      </c>
      <c r="AE5" s="66">
        <v>15738795</v>
      </c>
      <c r="AF5" s="66">
        <v>15939788</v>
      </c>
      <c r="AG5" s="66">
        <v>15790429</v>
      </c>
      <c r="AH5" s="66">
        <v>15823033</v>
      </c>
      <c r="AI5" s="66">
        <v>15923668</v>
      </c>
      <c r="AJ5" s="66">
        <v>16059746</v>
      </c>
      <c r="AK5" s="66">
        <v>16807479</v>
      </c>
      <c r="AL5" s="66">
        <v>18203142</v>
      </c>
      <c r="AM5" s="66">
        <v>19334970</v>
      </c>
    </row>
    <row r="6" spans="1:39" ht="13" customHeight="1">
      <c r="A6" s="41" t="s">
        <v>303</v>
      </c>
      <c r="B6" s="41" t="s">
        <v>137</v>
      </c>
      <c r="C6" s="42">
        <v>677601</v>
      </c>
      <c r="D6" s="42">
        <v>627229</v>
      </c>
      <c r="E6" s="42">
        <v>639826</v>
      </c>
      <c r="F6" s="42">
        <v>748948</v>
      </c>
      <c r="G6" s="42">
        <v>865107</v>
      </c>
      <c r="H6" s="42">
        <v>959226</v>
      </c>
      <c r="I6" s="42">
        <v>1085204</v>
      </c>
      <c r="J6" s="42">
        <v>1256761</v>
      </c>
      <c r="K6" s="42">
        <v>1388993</v>
      </c>
      <c r="L6" s="42">
        <v>1459673</v>
      </c>
      <c r="M6" s="42">
        <v>1612571</v>
      </c>
      <c r="N6" s="42">
        <v>2145079</v>
      </c>
      <c r="O6" s="42">
        <v>2280248</v>
      </c>
      <c r="P6" s="42">
        <v>2293990</v>
      </c>
      <c r="Q6" s="42">
        <v>2356682</v>
      </c>
      <c r="R6" s="42">
        <v>2562885</v>
      </c>
      <c r="S6" s="42">
        <v>2432355</v>
      </c>
      <c r="T6" s="42">
        <v>2303993</v>
      </c>
      <c r="U6" s="42">
        <v>2340194</v>
      </c>
      <c r="V6" s="42">
        <v>2778400</v>
      </c>
      <c r="W6" s="42">
        <v>2935329</v>
      </c>
      <c r="X6" s="42">
        <v>3053886</v>
      </c>
      <c r="Y6" s="42">
        <v>3335692</v>
      </c>
      <c r="Z6" s="66">
        <v>3851651</v>
      </c>
      <c r="AA6" s="66">
        <v>3857089</v>
      </c>
      <c r="AB6" s="66">
        <v>3770892</v>
      </c>
      <c r="AC6" s="66">
        <v>3752946</v>
      </c>
      <c r="AD6" s="66">
        <v>4283538</v>
      </c>
      <c r="AE6" s="66">
        <v>4202146</v>
      </c>
      <c r="AF6" s="66">
        <v>4151351</v>
      </c>
      <c r="AG6" s="66">
        <v>4230198</v>
      </c>
      <c r="AH6" s="66">
        <v>4291281</v>
      </c>
      <c r="AI6" s="66">
        <v>3968955</v>
      </c>
      <c r="AJ6" s="66">
        <v>4050165</v>
      </c>
      <c r="AK6" s="66">
        <v>4326473</v>
      </c>
      <c r="AL6" s="66">
        <v>5003687</v>
      </c>
      <c r="AM6" s="66">
        <v>5078440</v>
      </c>
    </row>
    <row r="7" spans="1:39" ht="13" customHeight="1">
      <c r="A7" s="39" t="s">
        <v>304</v>
      </c>
      <c r="B7" s="39" t="s">
        <v>138</v>
      </c>
      <c r="C7" s="40">
        <f t="shared" ref="C7:P7" si="7">SUM(C8:C10)</f>
        <v>11683690</v>
      </c>
      <c r="D7" s="40">
        <f t="shared" si="7"/>
        <v>12296174</v>
      </c>
      <c r="E7" s="40">
        <f t="shared" si="7"/>
        <v>12607708</v>
      </c>
      <c r="F7" s="40">
        <f t="shared" si="7"/>
        <v>13311743</v>
      </c>
      <c r="G7" s="40">
        <f t="shared" si="7"/>
        <v>14194127</v>
      </c>
      <c r="H7" s="40">
        <f t="shared" si="7"/>
        <v>14752632</v>
      </c>
      <c r="I7" s="40">
        <f t="shared" si="7"/>
        <v>15025481</v>
      </c>
      <c r="J7" s="40">
        <f t="shared" si="7"/>
        <v>20357764</v>
      </c>
      <c r="K7" s="40">
        <f t="shared" si="7"/>
        <v>21974572</v>
      </c>
      <c r="L7" s="40">
        <f t="shared" si="7"/>
        <v>22125695</v>
      </c>
      <c r="M7" s="40">
        <f t="shared" si="7"/>
        <v>22600443</v>
      </c>
      <c r="N7" s="40">
        <f t="shared" si="7"/>
        <v>23031914</v>
      </c>
      <c r="O7" s="40">
        <f t="shared" si="7"/>
        <v>23386334</v>
      </c>
      <c r="P7" s="40">
        <f t="shared" si="7"/>
        <v>24070670</v>
      </c>
      <c r="Q7" s="40">
        <f>SUM(Q8:Q10)</f>
        <v>24512024</v>
      </c>
      <c r="R7" s="40">
        <f t="shared" ref="R7:Z7" si="8">SUM(R8:R10)</f>
        <v>24802516</v>
      </c>
      <c r="S7" s="40">
        <f t="shared" si="8"/>
        <v>25540177</v>
      </c>
      <c r="T7" s="40">
        <f t="shared" si="8"/>
        <v>26271343</v>
      </c>
      <c r="U7" s="40">
        <f t="shared" si="8"/>
        <v>25663863</v>
      </c>
      <c r="V7" s="40">
        <f t="shared" si="8"/>
        <v>24001967</v>
      </c>
      <c r="W7" s="40">
        <f t="shared" si="8"/>
        <v>24171874.207860731</v>
      </c>
      <c r="X7" s="40">
        <f t="shared" si="8"/>
        <v>23251657</v>
      </c>
      <c r="Y7" s="40">
        <f t="shared" si="8"/>
        <v>22707487</v>
      </c>
      <c r="Z7" s="65">
        <f t="shared" si="8"/>
        <v>22321805</v>
      </c>
      <c r="AA7" s="65">
        <f t="shared" ref="AA7:AF7" si="9">SUM(AA8:AA10)</f>
        <v>22069677</v>
      </c>
      <c r="AB7" s="65">
        <f t="shared" si="9"/>
        <v>22334539</v>
      </c>
      <c r="AC7" s="65">
        <f t="shared" si="9"/>
        <v>22333890</v>
      </c>
      <c r="AD7" s="65">
        <f t="shared" si="9"/>
        <v>21836147</v>
      </c>
      <c r="AE7" s="65">
        <f t="shared" si="9"/>
        <v>21856878</v>
      </c>
      <c r="AF7" s="65">
        <f t="shared" si="9"/>
        <v>22190158</v>
      </c>
      <c r="AG7" s="65">
        <f t="shared" ref="AG7:AH7" si="10">SUM(AG8:AG10)</f>
        <v>22822199</v>
      </c>
      <c r="AH7" s="65">
        <f t="shared" si="10"/>
        <v>22380027</v>
      </c>
      <c r="AI7" s="65">
        <f t="shared" ref="AI7:AJ7" si="11">SUM(AI8:AI10)</f>
        <v>22960444</v>
      </c>
      <c r="AJ7" s="65">
        <f t="shared" si="11"/>
        <v>23308820</v>
      </c>
      <c r="AK7" s="65">
        <f t="shared" ref="AK7:AL7" si="12">SUM(AK8:AK10)</f>
        <v>23856244</v>
      </c>
      <c r="AL7" s="65">
        <f t="shared" si="12"/>
        <v>22969347</v>
      </c>
      <c r="AM7" s="65">
        <f t="shared" ref="AM7" si="13">SUM(AM8:AM10)</f>
        <v>23462471</v>
      </c>
    </row>
    <row r="8" spans="1:39" ht="13" customHeight="1">
      <c r="A8" s="41" t="s">
        <v>305</v>
      </c>
      <c r="B8" s="41" t="s">
        <v>139</v>
      </c>
      <c r="C8" s="42">
        <v>6649023</v>
      </c>
      <c r="D8" s="42">
        <v>6971721</v>
      </c>
      <c r="E8" s="42">
        <v>7064903</v>
      </c>
      <c r="F8" s="42">
        <v>7308603</v>
      </c>
      <c r="G8" s="42">
        <v>7744215</v>
      </c>
      <c r="H8" s="42">
        <v>7791139</v>
      </c>
      <c r="I8" s="42">
        <v>7931019</v>
      </c>
      <c r="J8" s="42">
        <v>10749077</v>
      </c>
      <c r="K8" s="42">
        <v>11305891</v>
      </c>
      <c r="L8" s="42">
        <v>11465952</v>
      </c>
      <c r="M8" s="42">
        <v>11374903</v>
      </c>
      <c r="N8" s="42">
        <v>11904696</v>
      </c>
      <c r="O8" s="42">
        <f>11943091-79149</f>
        <v>11863942</v>
      </c>
      <c r="P8" s="42">
        <f>11964428-73181</f>
        <v>11891247</v>
      </c>
      <c r="Q8" s="42">
        <f>11899708-79080</f>
        <v>11820628</v>
      </c>
      <c r="R8" s="42">
        <v>11612837</v>
      </c>
      <c r="S8" s="42">
        <v>12038778</v>
      </c>
      <c r="T8" s="42">
        <v>11960242</v>
      </c>
      <c r="U8" s="42">
        <v>11650169</v>
      </c>
      <c r="V8" s="42">
        <v>11023892</v>
      </c>
      <c r="W8" s="42">
        <v>10909559.166399401</v>
      </c>
      <c r="X8" s="42">
        <v>10138489</v>
      </c>
      <c r="Y8" s="42">
        <v>10061313</v>
      </c>
      <c r="Z8" s="66">
        <v>9718718</v>
      </c>
      <c r="AA8" s="66">
        <v>11094845</v>
      </c>
      <c r="AB8" s="66">
        <v>10345264</v>
      </c>
      <c r="AC8" s="66">
        <v>13027503</v>
      </c>
      <c r="AD8" s="66">
        <v>10116453</v>
      </c>
      <c r="AE8" s="66">
        <v>10388654</v>
      </c>
      <c r="AF8" s="66">
        <v>10567435</v>
      </c>
      <c r="AG8" s="66">
        <v>11092834</v>
      </c>
      <c r="AH8" s="66">
        <v>10873912</v>
      </c>
      <c r="AI8" s="66">
        <v>11084501</v>
      </c>
      <c r="AJ8" s="66">
        <v>11217430</v>
      </c>
      <c r="AK8" s="66">
        <v>11157265</v>
      </c>
      <c r="AL8" s="66">
        <v>11065622</v>
      </c>
      <c r="AM8" s="66">
        <v>11278929</v>
      </c>
    </row>
    <row r="9" spans="1:39" ht="13" customHeight="1">
      <c r="A9" s="41" t="s">
        <v>306</v>
      </c>
      <c r="B9" s="41" t="s">
        <v>140</v>
      </c>
      <c r="C9" s="42">
        <v>4330886</v>
      </c>
      <c r="D9" s="42">
        <v>4668444</v>
      </c>
      <c r="E9" s="42">
        <v>4917282</v>
      </c>
      <c r="F9" s="42">
        <v>5481578</v>
      </c>
      <c r="G9" s="42">
        <v>5690353</v>
      </c>
      <c r="H9" s="42">
        <v>6103213</v>
      </c>
      <c r="I9" s="42">
        <v>6191164</v>
      </c>
      <c r="J9" s="42">
        <v>7486754</v>
      </c>
      <c r="K9" s="42">
        <v>8157037</v>
      </c>
      <c r="L9" s="42">
        <v>8355025</v>
      </c>
      <c r="M9" s="42">
        <v>8570421</v>
      </c>
      <c r="N9" s="42">
        <v>8620606</v>
      </c>
      <c r="O9" s="42">
        <v>8455111</v>
      </c>
      <c r="P9" s="42">
        <v>8415320</v>
      </c>
      <c r="Q9" s="42">
        <v>8328087</v>
      </c>
      <c r="R9" s="42">
        <v>8310328</v>
      </c>
      <c r="S9" s="42">
        <v>7935188</v>
      </c>
      <c r="T9" s="42">
        <v>7970741</v>
      </c>
      <c r="U9" s="42">
        <v>7916491</v>
      </c>
      <c r="V9" s="42">
        <v>7189882</v>
      </c>
      <c r="W9" s="42">
        <v>7309560</v>
      </c>
      <c r="X9" s="42">
        <v>6771404</v>
      </c>
      <c r="Y9" s="42">
        <v>6694474</v>
      </c>
      <c r="Z9" s="66">
        <v>6574706</v>
      </c>
      <c r="AA9" s="66">
        <v>4644998</v>
      </c>
      <c r="AB9" s="66">
        <v>5649148</v>
      </c>
      <c r="AC9" s="66">
        <v>5502180</v>
      </c>
      <c r="AD9" s="66">
        <v>5217830</v>
      </c>
      <c r="AE9" s="66">
        <v>4938372</v>
      </c>
      <c r="AF9" s="66">
        <v>4841061</v>
      </c>
      <c r="AG9" s="66">
        <v>5071959</v>
      </c>
      <c r="AH9" s="66">
        <v>4885632</v>
      </c>
      <c r="AI9" s="66">
        <v>5050127</v>
      </c>
      <c r="AJ9" s="66">
        <v>4904952</v>
      </c>
      <c r="AK9" s="66">
        <v>4899954</v>
      </c>
      <c r="AL9" s="66">
        <v>4471096</v>
      </c>
      <c r="AM9" s="66">
        <v>4468111</v>
      </c>
    </row>
    <row r="10" spans="1:39" ht="13" customHeight="1">
      <c r="A10" s="41" t="s">
        <v>307</v>
      </c>
      <c r="B10" s="41" t="s">
        <v>141</v>
      </c>
      <c r="C10" s="42">
        <v>703781</v>
      </c>
      <c r="D10" s="42">
        <v>656009</v>
      </c>
      <c r="E10" s="42">
        <v>625523</v>
      </c>
      <c r="F10" s="42">
        <v>521562</v>
      </c>
      <c r="G10" s="42">
        <v>759559</v>
      </c>
      <c r="H10" s="42">
        <v>858280</v>
      </c>
      <c r="I10" s="42">
        <v>903298</v>
      </c>
      <c r="J10" s="42">
        <v>2121933</v>
      </c>
      <c r="K10" s="42">
        <v>2511644</v>
      </c>
      <c r="L10" s="42">
        <v>2304718</v>
      </c>
      <c r="M10" s="42">
        <v>2655119</v>
      </c>
      <c r="N10" s="42">
        <v>2506612</v>
      </c>
      <c r="O10" s="42">
        <v>3067281</v>
      </c>
      <c r="P10" s="42">
        <v>3764103</v>
      </c>
      <c r="Q10" s="42">
        <v>4363309</v>
      </c>
      <c r="R10" s="42">
        <v>4879351</v>
      </c>
      <c r="S10" s="42">
        <v>5566211</v>
      </c>
      <c r="T10" s="42">
        <v>6340360</v>
      </c>
      <c r="U10" s="42">
        <v>6097203</v>
      </c>
      <c r="V10" s="42">
        <v>5788193</v>
      </c>
      <c r="W10" s="42">
        <v>5952755.0414613308</v>
      </c>
      <c r="X10" s="42">
        <v>6341764</v>
      </c>
      <c r="Y10" s="42">
        <v>5951700</v>
      </c>
      <c r="Z10" s="66">
        <v>6028381</v>
      </c>
      <c r="AA10" s="66">
        <v>6329834</v>
      </c>
      <c r="AB10" s="66">
        <v>6340127</v>
      </c>
      <c r="AC10" s="66">
        <v>3804207</v>
      </c>
      <c r="AD10" s="66">
        <v>6501864</v>
      </c>
      <c r="AE10" s="66">
        <v>6529852</v>
      </c>
      <c r="AF10" s="66">
        <v>6781662</v>
      </c>
      <c r="AG10" s="66">
        <v>6657406</v>
      </c>
      <c r="AH10" s="66">
        <v>6620483</v>
      </c>
      <c r="AI10" s="66">
        <v>6825816</v>
      </c>
      <c r="AJ10" s="66">
        <v>7186438</v>
      </c>
      <c r="AK10" s="66">
        <v>7799025</v>
      </c>
      <c r="AL10" s="66">
        <v>7432629</v>
      </c>
      <c r="AM10" s="66">
        <v>7715431</v>
      </c>
    </row>
    <row r="11" spans="1:39" ht="13" customHeight="1">
      <c r="A11" s="39" t="s">
        <v>308</v>
      </c>
      <c r="B11" s="39" t="s">
        <v>142</v>
      </c>
      <c r="C11" s="40">
        <f t="shared" ref="C11:P11" si="14">C3+C7</f>
        <v>27410671</v>
      </c>
      <c r="D11" s="40">
        <f t="shared" si="14"/>
        <v>28344652</v>
      </c>
      <c r="E11" s="40">
        <f t="shared" si="14"/>
        <v>29389041</v>
      </c>
      <c r="F11" s="40">
        <f t="shared" si="14"/>
        <v>30907057</v>
      </c>
      <c r="G11" s="40">
        <f t="shared" si="14"/>
        <v>32738033</v>
      </c>
      <c r="H11" s="40">
        <f t="shared" si="14"/>
        <v>34136419</v>
      </c>
      <c r="I11" s="40">
        <f t="shared" si="14"/>
        <v>35088891</v>
      </c>
      <c r="J11" s="40">
        <f t="shared" si="14"/>
        <v>46247188</v>
      </c>
      <c r="K11" s="40">
        <f t="shared" si="14"/>
        <v>48402943</v>
      </c>
      <c r="L11" s="40">
        <f t="shared" si="14"/>
        <v>49079354</v>
      </c>
      <c r="M11" s="40">
        <f t="shared" si="14"/>
        <v>50099527</v>
      </c>
      <c r="N11" s="40">
        <f t="shared" si="14"/>
        <v>51266640</v>
      </c>
      <c r="O11" s="40">
        <f t="shared" si="14"/>
        <v>51326001</v>
      </c>
      <c r="P11" s="40">
        <f t="shared" si="14"/>
        <v>52433746</v>
      </c>
      <c r="Q11" s="40">
        <f>Q3+Q7</f>
        <v>53260652</v>
      </c>
      <c r="R11" s="40">
        <f t="shared" ref="R11:Z11" si="15">R3+R7</f>
        <v>54246012</v>
      </c>
      <c r="S11" s="40">
        <f t="shared" si="15"/>
        <v>55393764</v>
      </c>
      <c r="T11" s="40">
        <f t="shared" si="15"/>
        <v>56664314</v>
      </c>
      <c r="U11" s="40">
        <f t="shared" si="15"/>
        <v>56684484</v>
      </c>
      <c r="V11" s="40">
        <f t="shared" si="15"/>
        <v>55844522</v>
      </c>
      <c r="W11" s="40">
        <f t="shared" si="15"/>
        <v>56518126.207860731</v>
      </c>
      <c r="X11" s="40">
        <f t="shared" si="15"/>
        <v>55703480</v>
      </c>
      <c r="Y11" s="40">
        <f t="shared" si="15"/>
        <v>55995884</v>
      </c>
      <c r="Z11" s="65">
        <f t="shared" si="15"/>
        <v>56215422</v>
      </c>
      <c r="AA11" s="65">
        <f t="shared" ref="AA11:AF11" si="16">AA3+AA7</f>
        <v>56272609</v>
      </c>
      <c r="AB11" s="65">
        <f t="shared" si="16"/>
        <v>57028409</v>
      </c>
      <c r="AC11" s="65">
        <f t="shared" si="16"/>
        <v>57833253</v>
      </c>
      <c r="AD11" s="65">
        <f t="shared" si="16"/>
        <v>58228178</v>
      </c>
      <c r="AE11" s="65">
        <f t="shared" si="16"/>
        <v>58150633</v>
      </c>
      <c r="AF11" s="65">
        <f t="shared" si="16"/>
        <v>58271811</v>
      </c>
      <c r="AG11" s="65">
        <f t="shared" ref="AG11:AH11" si="17">AG3+AG7</f>
        <v>58453689</v>
      </c>
      <c r="AH11" s="65">
        <f t="shared" si="17"/>
        <v>57609876</v>
      </c>
      <c r="AI11" s="65">
        <f t="shared" ref="AI11:AJ11" si="18">AI3+AI7</f>
        <v>57799484</v>
      </c>
      <c r="AJ11" s="65">
        <f t="shared" si="18"/>
        <v>58390232</v>
      </c>
      <c r="AK11" s="65">
        <f t="shared" ref="AK11:AL11" si="19">AK3+AK7</f>
        <v>59982894</v>
      </c>
      <c r="AL11" s="65">
        <f t="shared" si="19"/>
        <v>60965097</v>
      </c>
      <c r="AM11" s="65">
        <f t="shared" ref="AM11" si="20">AM3+AM7</f>
        <v>62625845</v>
      </c>
    </row>
    <row r="15" spans="1:39">
      <c r="C15" s="9"/>
      <c r="G15" s="9"/>
    </row>
    <row r="17" spans="11:22">
      <c r="L17" s="9"/>
      <c r="R17" s="9"/>
      <c r="V17" s="9"/>
    </row>
    <row r="19" spans="11:22">
      <c r="K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V40"/>
  <sheetViews>
    <sheetView zoomScaleNormal="100" workbookViewId="0">
      <pane xSplit="2" ySplit="2" topLeftCell="Q20" activePane="bottomRight" state="frozen"/>
      <selection pane="topRight" activeCell="C1" sqref="C1"/>
      <selection pane="bottomLeft" activeCell="A3" sqref="A3"/>
      <selection pane="bottomRight" activeCell="V41" sqref="V40:V41"/>
    </sheetView>
  </sheetViews>
  <sheetFormatPr defaultColWidth="8.6640625" defaultRowHeight="11.5"/>
  <cols>
    <col min="1" max="2" width="50.6640625" style="2" customWidth="1"/>
    <col min="3" max="33" width="10.6640625" style="2" customWidth="1"/>
    <col min="34" max="16384" width="8.6640625" style="2"/>
  </cols>
  <sheetData>
    <row r="1" spans="1:22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421</v>
      </c>
      <c r="D1" s="1" t="s">
        <v>424</v>
      </c>
      <c r="E1" s="1" t="s">
        <v>425</v>
      </c>
      <c r="F1" s="1" t="s">
        <v>426</v>
      </c>
      <c r="G1" s="1" t="s">
        <v>427</v>
      </c>
      <c r="H1" s="1" t="s">
        <v>428</v>
      </c>
      <c r="I1" s="1" t="s">
        <v>429</v>
      </c>
      <c r="J1" s="1" t="s">
        <v>430</v>
      </c>
      <c r="K1" s="1" t="s">
        <v>431</v>
      </c>
      <c r="L1" s="1" t="s">
        <v>432</v>
      </c>
      <c r="M1" s="1" t="s">
        <v>462</v>
      </c>
      <c r="N1" s="1" t="s">
        <v>491</v>
      </c>
      <c r="O1" s="1" t="s">
        <v>493</v>
      </c>
      <c r="P1" s="1" t="s">
        <v>522</v>
      </c>
      <c r="Q1" s="1" t="s">
        <v>661</v>
      </c>
      <c r="R1" s="1" t="s">
        <v>671</v>
      </c>
      <c r="S1" s="1" t="s">
        <v>677</v>
      </c>
      <c r="T1" s="1" t="s">
        <v>683</v>
      </c>
      <c r="U1" s="1" t="s">
        <v>689</v>
      </c>
      <c r="V1" s="1" t="s">
        <v>695</v>
      </c>
    </row>
    <row r="2" spans="1:22" ht="13" customHeight="1" thickBot="1">
      <c r="A2" s="78" t="s">
        <v>159</v>
      </c>
      <c r="B2" s="78" t="s">
        <v>327</v>
      </c>
      <c r="C2" s="1" t="s">
        <v>448</v>
      </c>
      <c r="D2" s="1" t="s">
        <v>451</v>
      </c>
      <c r="E2" s="1" t="s">
        <v>452</v>
      </c>
      <c r="F2" s="1" t="s">
        <v>453</v>
      </c>
      <c r="G2" s="1" t="s">
        <v>454</v>
      </c>
      <c r="H2" s="1" t="s">
        <v>455</v>
      </c>
      <c r="I2" s="1" t="s">
        <v>456</v>
      </c>
      <c r="J2" s="1" t="s">
        <v>457</v>
      </c>
      <c r="K2" s="1" t="s">
        <v>458</v>
      </c>
      <c r="L2" s="1" t="s">
        <v>459</v>
      </c>
      <c r="M2" s="1" t="s">
        <v>461</v>
      </c>
      <c r="N2" s="1" t="s">
        <v>492</v>
      </c>
      <c r="O2" s="1" t="s">
        <v>494</v>
      </c>
      <c r="P2" s="1" t="s">
        <v>523</v>
      </c>
      <c r="Q2" s="1" t="s">
        <v>662</v>
      </c>
      <c r="R2" s="1" t="s">
        <v>672</v>
      </c>
      <c r="S2" s="1" t="s">
        <v>678</v>
      </c>
      <c r="T2" s="1" t="s">
        <v>684</v>
      </c>
      <c r="U2" s="1" t="s">
        <v>690</v>
      </c>
      <c r="V2" s="1" t="s">
        <v>696</v>
      </c>
    </row>
    <row r="3" spans="1:22" s="108" customFormat="1" ht="13" customHeight="1">
      <c r="A3" s="99" t="s">
        <v>338</v>
      </c>
      <c r="B3" s="99" t="s">
        <v>328</v>
      </c>
      <c r="C3" s="72"/>
      <c r="D3" s="72"/>
      <c r="E3" s="73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</row>
    <row r="4" spans="1:22" s="108" customFormat="1" ht="13" customHeight="1">
      <c r="A4" s="69" t="s">
        <v>300</v>
      </c>
      <c r="B4" s="69" t="s">
        <v>134</v>
      </c>
      <c r="C4" s="70">
        <f>SUM(C5:C8)</f>
        <v>32048060</v>
      </c>
      <c r="D4" s="70">
        <f t="shared" ref="D4:L4" si="0">SUM(D5:D8)</f>
        <v>33626294</v>
      </c>
      <c r="E4" s="70">
        <f t="shared" si="0"/>
        <v>34492218</v>
      </c>
      <c r="F4" s="70">
        <f t="shared" si="0"/>
        <v>35063271</v>
      </c>
      <c r="G4" s="70">
        <f t="shared" si="0"/>
        <v>35212759</v>
      </c>
      <c r="H4" s="70">
        <f t="shared" si="0"/>
        <v>36235994</v>
      </c>
      <c r="I4" s="70">
        <f t="shared" si="0"/>
        <v>36750867</v>
      </c>
      <c r="J4" s="70">
        <f t="shared" si="0"/>
        <v>36702350</v>
      </c>
      <c r="K4" s="70">
        <f t="shared" si="0"/>
        <v>37004546</v>
      </c>
      <c r="L4" s="70">
        <f t="shared" si="0"/>
        <v>37930709</v>
      </c>
      <c r="M4" s="70">
        <f>SUM(M5:M8)</f>
        <v>38592653</v>
      </c>
      <c r="N4" s="70">
        <f t="shared" ref="N4:O4" si="1">SUM(N5:N8)</f>
        <v>38571309</v>
      </c>
      <c r="O4" s="70">
        <f t="shared" si="1"/>
        <v>38245409</v>
      </c>
      <c r="P4" s="70">
        <f t="shared" ref="P4:Q4" si="2">SUM(P5:P8)</f>
        <v>37932648</v>
      </c>
      <c r="Q4" s="70">
        <f t="shared" si="2"/>
        <v>37229755</v>
      </c>
      <c r="R4" s="70">
        <f t="shared" ref="R4:S4" si="3">SUM(R5:R8)</f>
        <v>36822273</v>
      </c>
      <c r="S4" s="70">
        <f t="shared" si="3"/>
        <v>36912951</v>
      </c>
      <c r="T4" s="70">
        <f t="shared" ref="T4:U4" si="4">SUM(T5:T8)</f>
        <v>38045579</v>
      </c>
      <c r="U4" s="70">
        <f t="shared" si="4"/>
        <v>39718395</v>
      </c>
      <c r="V4" s="70">
        <f t="shared" ref="V4" si="5">SUM(V5:V8)</f>
        <v>40875531</v>
      </c>
    </row>
    <row r="5" spans="1:22" s="108" customFormat="1" ht="13" customHeight="1">
      <c r="A5" s="71" t="s">
        <v>331</v>
      </c>
      <c r="B5" s="71" t="s">
        <v>104</v>
      </c>
      <c r="C5" s="72">
        <v>26277481</v>
      </c>
      <c r="D5" s="72">
        <v>28053059</v>
      </c>
      <c r="E5" s="72">
        <v>29057301</v>
      </c>
      <c r="F5" s="72">
        <v>29524088</v>
      </c>
      <c r="G5" s="72">
        <v>29351385</v>
      </c>
      <c r="H5" s="72">
        <v>30260616</v>
      </c>
      <c r="I5" s="72">
        <v>31012809</v>
      </c>
      <c r="J5" s="72">
        <v>31484511</v>
      </c>
      <c r="K5" s="72">
        <v>32168447</v>
      </c>
      <c r="L5" s="72">
        <v>32975625</v>
      </c>
      <c r="M5" s="72">
        <v>34331648</v>
      </c>
      <c r="N5" s="72">
        <v>34192697</v>
      </c>
      <c r="O5" s="72">
        <v>33778873</v>
      </c>
      <c r="P5" s="72">
        <v>32971987</v>
      </c>
      <c r="Q5" s="72">
        <v>32691404</v>
      </c>
      <c r="R5" s="72">
        <v>32255882</v>
      </c>
      <c r="S5" s="72">
        <v>32477310</v>
      </c>
      <c r="T5" s="72">
        <v>33412747</v>
      </c>
      <c r="U5" s="72">
        <v>35222693</v>
      </c>
      <c r="V5" s="72">
        <v>36363867</v>
      </c>
    </row>
    <row r="6" spans="1:22" s="108" customFormat="1" ht="13" customHeight="1">
      <c r="A6" s="71" t="s">
        <v>266</v>
      </c>
      <c r="B6" s="71" t="s">
        <v>101</v>
      </c>
      <c r="C6" s="72">
        <v>2944648</v>
      </c>
      <c r="D6" s="72">
        <v>2752740</v>
      </c>
      <c r="E6" s="72">
        <v>2576933</v>
      </c>
      <c r="F6" s="72">
        <v>2597104</v>
      </c>
      <c r="G6" s="72">
        <v>2883743</v>
      </c>
      <c r="H6" s="72">
        <v>2802648</v>
      </c>
      <c r="I6" s="72">
        <v>2676064</v>
      </c>
      <c r="J6" s="72">
        <v>2494331</v>
      </c>
      <c r="K6" s="72">
        <v>2380828</v>
      </c>
      <c r="L6" s="72">
        <v>2405378</v>
      </c>
      <c r="M6" s="72">
        <v>1981672</v>
      </c>
      <c r="N6" s="72">
        <v>2045398</v>
      </c>
      <c r="O6" s="72">
        <v>2300015</v>
      </c>
      <c r="P6" s="72">
        <v>2620991</v>
      </c>
      <c r="Q6" s="72">
        <v>2591086</v>
      </c>
      <c r="R6" s="72">
        <v>2603334</v>
      </c>
      <c r="S6" s="72">
        <v>2658065</v>
      </c>
      <c r="T6" s="72">
        <v>2729318</v>
      </c>
      <c r="U6" s="72">
        <v>2755743</v>
      </c>
      <c r="V6" s="72">
        <v>2763408</v>
      </c>
    </row>
    <row r="7" spans="1:22" s="108" customFormat="1" ht="13" customHeight="1">
      <c r="A7" s="71" t="s">
        <v>332</v>
      </c>
      <c r="B7" s="71" t="s">
        <v>333</v>
      </c>
      <c r="C7" s="72">
        <v>2687348</v>
      </c>
      <c r="D7" s="72">
        <v>2701613</v>
      </c>
      <c r="E7" s="72">
        <v>2742152</v>
      </c>
      <c r="F7" s="72">
        <v>2835657</v>
      </c>
      <c r="G7" s="72">
        <v>2891594</v>
      </c>
      <c r="H7" s="72">
        <v>3086814</v>
      </c>
      <c r="I7" s="72">
        <v>2996225</v>
      </c>
      <c r="J7" s="72">
        <v>2670665</v>
      </c>
      <c r="K7" s="72">
        <v>2408925</v>
      </c>
      <c r="L7" s="72">
        <v>2503373</v>
      </c>
      <c r="M7" s="72">
        <v>2246043</v>
      </c>
      <c r="N7" s="72">
        <v>2301711</v>
      </c>
      <c r="O7" s="72">
        <v>2138603</v>
      </c>
      <c r="P7" s="72">
        <v>2313479</v>
      </c>
      <c r="Q7" s="72">
        <v>1933672</v>
      </c>
      <c r="R7" s="72">
        <v>1948204</v>
      </c>
      <c r="S7" s="72">
        <v>1762378</v>
      </c>
      <c r="T7" s="72">
        <v>1870553</v>
      </c>
      <c r="U7" s="72">
        <v>1707963</v>
      </c>
      <c r="V7" s="72">
        <v>1715346</v>
      </c>
    </row>
    <row r="8" spans="1:22" s="108" customFormat="1" ht="13" customHeight="1">
      <c r="A8" s="71" t="s">
        <v>105</v>
      </c>
      <c r="B8" s="71" t="s">
        <v>334</v>
      </c>
      <c r="C8" s="72">
        <v>138583</v>
      </c>
      <c r="D8" s="72">
        <v>118882</v>
      </c>
      <c r="E8" s="72">
        <v>115832</v>
      </c>
      <c r="F8" s="72">
        <v>106422</v>
      </c>
      <c r="G8" s="72">
        <v>86037</v>
      </c>
      <c r="H8" s="72">
        <v>85916</v>
      </c>
      <c r="I8" s="72">
        <v>65769</v>
      </c>
      <c r="J8" s="72">
        <v>52843</v>
      </c>
      <c r="K8" s="72">
        <v>46346</v>
      </c>
      <c r="L8" s="72">
        <v>46333</v>
      </c>
      <c r="M8" s="72">
        <v>33290</v>
      </c>
      <c r="N8" s="72">
        <v>31503</v>
      </c>
      <c r="O8" s="72">
        <v>27918</v>
      </c>
      <c r="P8" s="72">
        <v>26191</v>
      </c>
      <c r="Q8" s="72">
        <v>13593</v>
      </c>
      <c r="R8" s="72">
        <v>14853</v>
      </c>
      <c r="S8" s="72">
        <v>15198</v>
      </c>
      <c r="T8" s="72">
        <v>32961</v>
      </c>
      <c r="U8" s="72">
        <v>31996</v>
      </c>
      <c r="V8" s="72">
        <v>32910</v>
      </c>
    </row>
    <row r="9" spans="1:22" s="108" customFormat="1" ht="13" customHeight="1">
      <c r="A9" s="69" t="s">
        <v>304</v>
      </c>
      <c r="B9" s="69" t="s">
        <v>138</v>
      </c>
      <c r="C9" s="70">
        <f>SUM(C10:C13)</f>
        <v>26869437</v>
      </c>
      <c r="D9" s="70">
        <f t="shared" ref="D9:L9" si="6">SUM(D10:D13)</f>
        <v>28533186</v>
      </c>
      <c r="E9" s="70">
        <f t="shared" si="6"/>
        <v>26801309</v>
      </c>
      <c r="F9" s="70">
        <f t="shared" si="6"/>
        <v>27135108</v>
      </c>
      <c r="G9" s="70">
        <f t="shared" si="6"/>
        <v>26497707</v>
      </c>
      <c r="H9" s="70">
        <f t="shared" si="6"/>
        <v>26109605</v>
      </c>
      <c r="I9" s="70">
        <f t="shared" si="6"/>
        <v>25711076</v>
      </c>
      <c r="J9" s="70">
        <f t="shared" si="6"/>
        <v>25353111</v>
      </c>
      <c r="K9" s="70">
        <f t="shared" si="6"/>
        <v>25591568</v>
      </c>
      <c r="L9" s="70">
        <f t="shared" si="6"/>
        <v>25505141</v>
      </c>
      <c r="M9" s="70">
        <f>SUM(M10:M13)</f>
        <v>24985917</v>
      </c>
      <c r="N9" s="70">
        <f t="shared" ref="N9:O9" si="7">SUM(N10:N13)</f>
        <v>24786096</v>
      </c>
      <c r="O9" s="70">
        <f t="shared" si="7"/>
        <v>24988109</v>
      </c>
      <c r="P9" s="70">
        <f t="shared" ref="P9:Q9" si="8">SUM(P10:P13)</f>
        <v>25743288</v>
      </c>
      <c r="Q9" s="70">
        <f t="shared" si="8"/>
        <v>24842278</v>
      </c>
      <c r="R9" s="70">
        <f t="shared" ref="R9:S9" si="9">SUM(R10:R13)</f>
        <v>25445111</v>
      </c>
      <c r="S9" s="70">
        <f t="shared" si="9"/>
        <v>25783625</v>
      </c>
      <c r="T9" s="70">
        <f t="shared" ref="T9:U9" si="10">SUM(T10:T13)</f>
        <v>26375229</v>
      </c>
      <c r="U9" s="70">
        <f t="shared" si="10"/>
        <v>25341561</v>
      </c>
      <c r="V9" s="70">
        <f t="shared" ref="V9" si="11">SUM(V10:V13)</f>
        <v>25443487</v>
      </c>
    </row>
    <row r="10" spans="1:22" s="108" customFormat="1" ht="13" customHeight="1">
      <c r="A10" s="71" t="s">
        <v>331</v>
      </c>
      <c r="B10" s="71" t="s">
        <v>104</v>
      </c>
      <c r="C10" s="72">
        <f>18965644</f>
        <v>18965644</v>
      </c>
      <c r="D10" s="72">
        <v>19216776</v>
      </c>
      <c r="E10" s="72">
        <v>17302684</v>
      </c>
      <c r="F10" s="72">
        <v>17095853</v>
      </c>
      <c r="G10" s="72">
        <v>15458345</v>
      </c>
      <c r="H10" s="72">
        <v>15147661</v>
      </c>
      <c r="I10" s="72">
        <v>14774099</v>
      </c>
      <c r="J10" s="72">
        <v>14715703</v>
      </c>
      <c r="K10" s="72">
        <v>15256825</v>
      </c>
      <c r="L10" s="72">
        <v>15541499</v>
      </c>
      <c r="M10" s="72">
        <v>14277156</v>
      </c>
      <c r="N10" s="72">
        <v>14355426</v>
      </c>
      <c r="O10" s="72">
        <v>14876246</v>
      </c>
      <c r="P10" s="72">
        <v>15696845</v>
      </c>
      <c r="Q10" s="72">
        <v>15693750</v>
      </c>
      <c r="R10" s="72">
        <v>16154585</v>
      </c>
      <c r="S10" s="72">
        <v>16626707</v>
      </c>
      <c r="T10" s="72">
        <v>17152887</v>
      </c>
      <c r="U10" s="72">
        <v>16536132</v>
      </c>
      <c r="V10" s="72">
        <v>17102767</v>
      </c>
    </row>
    <row r="11" spans="1:22" s="108" customFormat="1" ht="13" customHeight="1">
      <c r="A11" s="71" t="s">
        <v>266</v>
      </c>
      <c r="B11" s="71" t="s">
        <v>101</v>
      </c>
      <c r="C11" s="72">
        <v>3411742</v>
      </c>
      <c r="D11" s="72">
        <v>3649259</v>
      </c>
      <c r="E11" s="72">
        <v>3448949</v>
      </c>
      <c r="F11" s="72">
        <v>3657128</v>
      </c>
      <c r="G11" s="72">
        <v>4908616</v>
      </c>
      <c r="H11" s="72">
        <v>4680497</v>
      </c>
      <c r="I11" s="72">
        <v>4935389</v>
      </c>
      <c r="J11" s="72">
        <v>4759101</v>
      </c>
      <c r="K11" s="72">
        <v>4636263</v>
      </c>
      <c r="L11" s="72">
        <v>4382981</v>
      </c>
      <c r="M11" s="72">
        <v>5469150</v>
      </c>
      <c r="N11" s="72">
        <v>5563537</v>
      </c>
      <c r="O11" s="72">
        <v>5476817</v>
      </c>
      <c r="P11" s="72">
        <v>5359782</v>
      </c>
      <c r="Q11" s="72">
        <v>4974683</v>
      </c>
      <c r="R11" s="72">
        <v>5118393</v>
      </c>
      <c r="S11" s="72">
        <v>4975103</v>
      </c>
      <c r="T11" s="72">
        <v>5044863</v>
      </c>
      <c r="U11" s="72">
        <v>4929829</v>
      </c>
      <c r="V11" s="72">
        <v>4982511</v>
      </c>
    </row>
    <row r="12" spans="1:22" s="108" customFormat="1" ht="13" customHeight="1">
      <c r="A12" s="71" t="s">
        <v>332</v>
      </c>
      <c r="B12" s="71" t="s">
        <v>333</v>
      </c>
      <c r="C12" s="72">
        <v>4231822</v>
      </c>
      <c r="D12" s="72">
        <v>5410967</v>
      </c>
      <c r="E12" s="72">
        <v>5830089</v>
      </c>
      <c r="F12" s="72">
        <v>6158588</v>
      </c>
      <c r="G12" s="72">
        <v>5916928</v>
      </c>
      <c r="H12" s="72">
        <v>6068890</v>
      </c>
      <c r="I12" s="72">
        <v>5788285</v>
      </c>
      <c r="J12" s="72">
        <v>5687050</v>
      </c>
      <c r="K12" s="72">
        <v>5515256</v>
      </c>
      <c r="L12" s="72">
        <v>5398638</v>
      </c>
      <c r="M12" s="72">
        <v>5002900</v>
      </c>
      <c r="N12" s="72">
        <v>4634569</v>
      </c>
      <c r="O12" s="72">
        <v>4397256</v>
      </c>
      <c r="P12" s="72">
        <v>4479835</v>
      </c>
      <c r="Q12" s="72">
        <v>3957657</v>
      </c>
      <c r="R12" s="72">
        <v>3928628</v>
      </c>
      <c r="S12" s="72">
        <v>3927587</v>
      </c>
      <c r="T12" s="72">
        <v>3884036</v>
      </c>
      <c r="U12" s="72">
        <v>3592677</v>
      </c>
      <c r="V12" s="72">
        <v>3108175</v>
      </c>
    </row>
    <row r="13" spans="1:22" s="108" customFormat="1" ht="13" customHeight="1">
      <c r="A13" s="71" t="s">
        <v>105</v>
      </c>
      <c r="B13" s="71" t="s">
        <v>334</v>
      </c>
      <c r="C13" s="72">
        <v>260229</v>
      </c>
      <c r="D13" s="72">
        <v>256184</v>
      </c>
      <c r="E13" s="72">
        <v>219587</v>
      </c>
      <c r="F13" s="72">
        <v>223539</v>
      </c>
      <c r="G13" s="72">
        <v>213818</v>
      </c>
      <c r="H13" s="72">
        <v>212557</v>
      </c>
      <c r="I13" s="72">
        <v>213303</v>
      </c>
      <c r="J13" s="72">
        <v>191257</v>
      </c>
      <c r="K13" s="72">
        <v>183224</v>
      </c>
      <c r="L13" s="72">
        <v>182023</v>
      </c>
      <c r="M13" s="72">
        <v>236711</v>
      </c>
      <c r="N13" s="72">
        <v>232564</v>
      </c>
      <c r="O13" s="72">
        <v>237790</v>
      </c>
      <c r="P13" s="72">
        <v>206826</v>
      </c>
      <c r="Q13" s="72">
        <v>216188</v>
      </c>
      <c r="R13" s="72">
        <v>243505</v>
      </c>
      <c r="S13" s="72">
        <v>254228</v>
      </c>
      <c r="T13" s="72">
        <v>293443</v>
      </c>
      <c r="U13" s="72">
        <v>282923</v>
      </c>
      <c r="V13" s="72">
        <v>250034</v>
      </c>
    </row>
    <row r="14" spans="1:22" s="108" customFormat="1" ht="13" customHeight="1">
      <c r="A14" s="69" t="s">
        <v>308</v>
      </c>
      <c r="B14" s="69" t="s">
        <v>142</v>
      </c>
      <c r="C14" s="70">
        <f>C4+C9</f>
        <v>58917497</v>
      </c>
      <c r="D14" s="70">
        <f t="shared" ref="D14:L14" si="12">D4+D9</f>
        <v>62159480</v>
      </c>
      <c r="E14" s="70">
        <f t="shared" si="12"/>
        <v>61293527</v>
      </c>
      <c r="F14" s="70">
        <f t="shared" si="12"/>
        <v>62198379</v>
      </c>
      <c r="G14" s="70">
        <f t="shared" si="12"/>
        <v>61710466</v>
      </c>
      <c r="H14" s="70">
        <f t="shared" si="12"/>
        <v>62345599</v>
      </c>
      <c r="I14" s="70">
        <f t="shared" si="12"/>
        <v>62461943</v>
      </c>
      <c r="J14" s="70">
        <f t="shared" si="12"/>
        <v>62055461</v>
      </c>
      <c r="K14" s="70">
        <f t="shared" si="12"/>
        <v>62596114</v>
      </c>
      <c r="L14" s="70">
        <f t="shared" si="12"/>
        <v>63435850</v>
      </c>
      <c r="M14" s="70">
        <f>M4+M9</f>
        <v>63578570</v>
      </c>
      <c r="N14" s="70">
        <f t="shared" ref="N14:O14" si="13">N4+N9</f>
        <v>63357405</v>
      </c>
      <c r="O14" s="70">
        <f t="shared" si="13"/>
        <v>63233518</v>
      </c>
      <c r="P14" s="70">
        <f t="shared" ref="P14:Q14" si="14">P4+P9</f>
        <v>63675936</v>
      </c>
      <c r="Q14" s="70">
        <f t="shared" si="14"/>
        <v>62072033</v>
      </c>
      <c r="R14" s="70">
        <f t="shared" ref="R14:S14" si="15">R4+R9</f>
        <v>62267384</v>
      </c>
      <c r="S14" s="70">
        <f t="shared" si="15"/>
        <v>62696576</v>
      </c>
      <c r="T14" s="70">
        <f t="shared" ref="T14:U14" si="16">T4+T9</f>
        <v>64420808</v>
      </c>
      <c r="U14" s="70">
        <f t="shared" si="16"/>
        <v>65059956</v>
      </c>
      <c r="V14" s="70">
        <f t="shared" ref="V14" si="17">V4+V9</f>
        <v>66319018</v>
      </c>
    </row>
    <row r="15" spans="1:22" s="108" customFormat="1" ht="13" customHeight="1">
      <c r="A15" s="99" t="s">
        <v>339</v>
      </c>
      <c r="B15" s="99" t="s">
        <v>329</v>
      </c>
      <c r="C15" s="72"/>
      <c r="D15" s="72"/>
      <c r="E15" s="73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s="108" customFormat="1" ht="13" customHeight="1">
      <c r="A16" s="69" t="s">
        <v>300</v>
      </c>
      <c r="B16" s="69" t="s">
        <v>134</v>
      </c>
      <c r="C16" s="70">
        <f t="shared" ref="C16:L16" si="18">SUM(C17:C20)</f>
        <v>-2604564</v>
      </c>
      <c r="D16" s="70">
        <f t="shared" si="18"/>
        <v>-2605673</v>
      </c>
      <c r="E16" s="70">
        <f t="shared" si="18"/>
        <v>-2649663</v>
      </c>
      <c r="F16" s="70">
        <f t="shared" si="18"/>
        <v>-2717019</v>
      </c>
      <c r="G16" s="70">
        <f t="shared" si="18"/>
        <v>-2760936</v>
      </c>
      <c r="H16" s="70">
        <f t="shared" si="18"/>
        <v>-2947597</v>
      </c>
      <c r="I16" s="70">
        <f t="shared" si="18"/>
        <v>-2857250</v>
      </c>
      <c r="J16" s="70">
        <f t="shared" si="18"/>
        <v>-2499418</v>
      </c>
      <c r="K16" s="70">
        <f t="shared" si="18"/>
        <v>-2310676</v>
      </c>
      <c r="L16" s="70">
        <f t="shared" si="18"/>
        <v>-2431346</v>
      </c>
      <c r="M16" s="70">
        <f>SUM(M17:M20)</f>
        <v>-2200622</v>
      </c>
      <c r="N16" s="70">
        <f t="shared" ref="N16:O16" si="19">SUM(N17:N20)</f>
        <v>-2277554</v>
      </c>
      <c r="O16" s="70">
        <f t="shared" si="19"/>
        <v>-2163756</v>
      </c>
      <c r="P16" s="70">
        <f t="shared" ref="P16:Q16" si="20">SUM(P17:P20)</f>
        <v>-2301158</v>
      </c>
      <c r="Q16" s="70">
        <f t="shared" si="20"/>
        <v>-1999906</v>
      </c>
      <c r="R16" s="70">
        <f t="shared" ref="R16:S16" si="21">SUM(R17:R20)</f>
        <v>-1983233</v>
      </c>
      <c r="S16" s="70">
        <f t="shared" si="21"/>
        <v>-1831539</v>
      </c>
      <c r="T16" s="70">
        <f t="shared" ref="T16:U16" si="22">SUM(T17:T20)</f>
        <v>-1918929</v>
      </c>
      <c r="U16" s="70">
        <f t="shared" si="22"/>
        <v>-1722645</v>
      </c>
      <c r="V16" s="70">
        <f t="shared" ref="V16" si="23">SUM(V17:V20)</f>
        <v>-1712157.24367</v>
      </c>
    </row>
    <row r="17" spans="1:22" s="108" customFormat="1" ht="13" customHeight="1">
      <c r="A17" s="71" t="s">
        <v>331</v>
      </c>
      <c r="B17" s="71" t="s">
        <v>104</v>
      </c>
      <c r="C17" s="72">
        <v>-288859</v>
      </c>
      <c r="D17" s="72">
        <v>-285604</v>
      </c>
      <c r="E17" s="72">
        <v>-305168</v>
      </c>
      <c r="F17" s="72">
        <v>-316453</v>
      </c>
      <c r="G17" s="72">
        <v>-340170</v>
      </c>
      <c r="H17" s="72">
        <v>-366047</v>
      </c>
      <c r="I17" s="72">
        <v>-364336</v>
      </c>
      <c r="J17" s="72">
        <v>-333647</v>
      </c>
      <c r="K17" s="72">
        <v>-336188</v>
      </c>
      <c r="L17" s="72">
        <v>-350978</v>
      </c>
      <c r="M17" s="72">
        <v>-360401</v>
      </c>
      <c r="N17" s="72">
        <v>-359101</v>
      </c>
      <c r="O17" s="72">
        <v>-352541</v>
      </c>
      <c r="P17" s="72">
        <v>-347653</v>
      </c>
      <c r="Q17" s="72">
        <v>-349690</v>
      </c>
      <c r="R17" s="72">
        <v>-354013</v>
      </c>
      <c r="S17" s="72">
        <v>-359792</v>
      </c>
      <c r="T17" s="72">
        <v>-365784</v>
      </c>
      <c r="U17" s="72">
        <v>-315786</v>
      </c>
      <c r="V17" s="72">
        <v>-311252</v>
      </c>
    </row>
    <row r="18" spans="1:22" s="108" customFormat="1" ht="13" customHeight="1">
      <c r="A18" s="71" t="s">
        <v>266</v>
      </c>
      <c r="B18" s="71" t="s">
        <v>101</v>
      </c>
      <c r="C18" s="72">
        <v>-539526</v>
      </c>
      <c r="D18" s="72">
        <v>-497105</v>
      </c>
      <c r="E18" s="72">
        <v>-468820</v>
      </c>
      <c r="F18" s="72">
        <v>-455457</v>
      </c>
      <c r="G18" s="72">
        <v>-465699</v>
      </c>
      <c r="H18" s="72">
        <v>-478668</v>
      </c>
      <c r="I18" s="72">
        <v>-450325</v>
      </c>
      <c r="J18" s="72">
        <v>-385618</v>
      </c>
      <c r="K18" s="72">
        <v>-383799</v>
      </c>
      <c r="L18" s="72">
        <v>-388292</v>
      </c>
      <c r="M18" s="72">
        <v>-353745</v>
      </c>
      <c r="N18" s="72">
        <v>-361976</v>
      </c>
      <c r="O18" s="72">
        <v>-386185</v>
      </c>
      <c r="P18" s="72">
        <v>-429710</v>
      </c>
      <c r="Q18" s="72">
        <v>-437966</v>
      </c>
      <c r="R18" s="72">
        <v>-435404</v>
      </c>
      <c r="S18" s="72">
        <v>-412696</v>
      </c>
      <c r="T18" s="72">
        <v>-415189</v>
      </c>
      <c r="U18" s="72">
        <v>-368491</v>
      </c>
      <c r="V18" s="72">
        <v>-357825</v>
      </c>
    </row>
    <row r="19" spans="1:22" s="108" customFormat="1" ht="13" customHeight="1">
      <c r="A19" s="71" t="s">
        <v>332</v>
      </c>
      <c r="B19" s="71" t="s">
        <v>333</v>
      </c>
      <c r="C19" s="72">
        <v>-1739333</v>
      </c>
      <c r="D19" s="72">
        <v>-1770088</v>
      </c>
      <c r="E19" s="72">
        <v>-1816378</v>
      </c>
      <c r="F19" s="72">
        <v>-1886281</v>
      </c>
      <c r="G19" s="72">
        <v>-1917346</v>
      </c>
      <c r="H19" s="72">
        <v>-2060693</v>
      </c>
      <c r="I19" s="72">
        <v>-2013430</v>
      </c>
      <c r="J19" s="72">
        <v>-1758827</v>
      </c>
      <c r="K19" s="72">
        <v>-1570122</v>
      </c>
      <c r="L19" s="72">
        <v>-1668232</v>
      </c>
      <c r="M19" s="72">
        <v>-1468530</v>
      </c>
      <c r="N19" s="72">
        <v>-1538339</v>
      </c>
      <c r="O19" s="72">
        <v>-1409737</v>
      </c>
      <c r="P19" s="72">
        <v>-1509836</v>
      </c>
      <c r="Q19" s="72">
        <v>-1211105</v>
      </c>
      <c r="R19" s="72">
        <v>-1192361</v>
      </c>
      <c r="S19" s="72">
        <v>-1058122</v>
      </c>
      <c r="T19" s="72">
        <v>-1137130</v>
      </c>
      <c r="U19" s="72">
        <v>-1037412</v>
      </c>
      <c r="V19" s="72">
        <v>-1043366</v>
      </c>
    </row>
    <row r="20" spans="1:22" ht="13" customHeight="1">
      <c r="A20" s="71" t="s">
        <v>105</v>
      </c>
      <c r="B20" s="71" t="s">
        <v>334</v>
      </c>
      <c r="C20" s="72">
        <v>-36846</v>
      </c>
      <c r="D20" s="72">
        <v>-52876</v>
      </c>
      <c r="E20" s="72">
        <v>-59297</v>
      </c>
      <c r="F20" s="72">
        <v>-58828</v>
      </c>
      <c r="G20" s="72">
        <v>-37721</v>
      </c>
      <c r="H20" s="72">
        <v>-42189</v>
      </c>
      <c r="I20" s="72">
        <v>-29159</v>
      </c>
      <c r="J20" s="72">
        <v>-21326</v>
      </c>
      <c r="K20" s="72">
        <v>-20567</v>
      </c>
      <c r="L20" s="72">
        <v>-23844</v>
      </c>
      <c r="M20" s="72">
        <v>-17946</v>
      </c>
      <c r="N20" s="72">
        <v>-18138</v>
      </c>
      <c r="O20" s="72">
        <v>-15293</v>
      </c>
      <c r="P20" s="72">
        <v>-13959</v>
      </c>
      <c r="Q20" s="72">
        <v>-1145</v>
      </c>
      <c r="R20" s="72">
        <v>-1455</v>
      </c>
      <c r="S20" s="72">
        <v>-929</v>
      </c>
      <c r="T20" s="72">
        <v>-826</v>
      </c>
      <c r="U20" s="72">
        <v>-956</v>
      </c>
      <c r="V20" s="72">
        <v>285.75633000000056</v>
      </c>
    </row>
    <row r="21" spans="1:22" ht="13" customHeight="1">
      <c r="A21" s="69" t="s">
        <v>304</v>
      </c>
      <c r="B21" s="69" t="s">
        <v>138</v>
      </c>
      <c r="C21" s="70">
        <f t="shared" ref="C21:L21" si="24">SUM(C22:C25)</f>
        <v>-2066921</v>
      </c>
      <c r="D21" s="70">
        <f t="shared" si="24"/>
        <v>-2869323</v>
      </c>
      <c r="E21" s="70">
        <f t="shared" si="24"/>
        <v>-2799342</v>
      </c>
      <c r="F21" s="70">
        <f t="shared" si="24"/>
        <v>-2963234</v>
      </c>
      <c r="G21" s="70">
        <f t="shared" si="24"/>
        <v>-3246050</v>
      </c>
      <c r="H21" s="70">
        <f t="shared" si="24"/>
        <v>-3402118</v>
      </c>
      <c r="I21" s="70">
        <f t="shared" si="24"/>
        <v>-3389271</v>
      </c>
      <c r="J21" s="70">
        <f t="shared" si="24"/>
        <v>-3283434</v>
      </c>
      <c r="K21" s="70">
        <f t="shared" si="24"/>
        <v>-3257029</v>
      </c>
      <c r="L21" s="70">
        <f t="shared" si="24"/>
        <v>-3171251</v>
      </c>
      <c r="M21" s="70">
        <f>SUM(M22:M25)</f>
        <v>-3149770</v>
      </c>
      <c r="N21" s="70">
        <f t="shared" ref="N21:O21" si="25">SUM(N22:N25)</f>
        <v>-2929218</v>
      </c>
      <c r="O21" s="70">
        <f t="shared" si="25"/>
        <v>-2797951</v>
      </c>
      <c r="P21" s="70">
        <f t="shared" ref="P21:Q21" si="26">SUM(P22:P25)</f>
        <v>-2921089</v>
      </c>
      <c r="Q21" s="70">
        <f t="shared" si="26"/>
        <v>-2462251</v>
      </c>
      <c r="R21" s="70">
        <f t="shared" ref="R21:S21" si="27">SUM(R22:R25)</f>
        <v>-2484667</v>
      </c>
      <c r="S21" s="70">
        <f t="shared" si="27"/>
        <v>-2474805</v>
      </c>
      <c r="T21" s="70">
        <f t="shared" ref="T21:U21" si="28">SUM(T22:T25)</f>
        <v>-2518985</v>
      </c>
      <c r="U21" s="70">
        <f t="shared" si="28"/>
        <v>-2372214</v>
      </c>
      <c r="V21" s="70">
        <f t="shared" ref="V21" si="29">SUM(V22:V25)</f>
        <v>-1981016</v>
      </c>
    </row>
    <row r="22" spans="1:22" ht="13" customHeight="1">
      <c r="A22" s="71" t="s">
        <v>331</v>
      </c>
      <c r="B22" s="71" t="s">
        <v>104</v>
      </c>
      <c r="C22" s="72">
        <v>-178683</v>
      </c>
      <c r="D22" s="72">
        <v>-181380</v>
      </c>
      <c r="E22" s="72">
        <v>-165966</v>
      </c>
      <c r="F22" s="72">
        <v>-168568</v>
      </c>
      <c r="G22" s="72">
        <v>-126604</v>
      </c>
      <c r="H22" s="72">
        <v>-136569</v>
      </c>
      <c r="I22" s="72">
        <v>-128464</v>
      </c>
      <c r="J22" s="72">
        <v>-126993</v>
      </c>
      <c r="K22" s="72">
        <v>-132467</v>
      </c>
      <c r="L22" s="72">
        <v>-109958</v>
      </c>
      <c r="M22" s="72">
        <v>-83969</v>
      </c>
      <c r="N22" s="72">
        <v>-81060</v>
      </c>
      <c r="O22" s="72">
        <v>-84360</v>
      </c>
      <c r="P22" s="72">
        <v>-82838</v>
      </c>
      <c r="Q22" s="72">
        <v>-80262</v>
      </c>
      <c r="R22" s="72">
        <v>-80800</v>
      </c>
      <c r="S22" s="72">
        <v>-84978</v>
      </c>
      <c r="T22" s="72">
        <v>-87707</v>
      </c>
      <c r="U22" s="72">
        <v>-77399</v>
      </c>
      <c r="V22" s="72">
        <v>-90177</v>
      </c>
    </row>
    <row r="23" spans="1:22" ht="13" customHeight="1">
      <c r="A23" s="71" t="s">
        <v>266</v>
      </c>
      <c r="B23" s="71" t="s">
        <v>101</v>
      </c>
      <c r="C23" s="72">
        <v>-231610</v>
      </c>
      <c r="D23" s="72">
        <v>-228445</v>
      </c>
      <c r="E23" s="72">
        <v>-264519</v>
      </c>
      <c r="F23" s="72">
        <v>-247324</v>
      </c>
      <c r="G23" s="72">
        <v>-327649</v>
      </c>
      <c r="H23" s="72">
        <v>-333719</v>
      </c>
      <c r="I23" s="72">
        <v>-322301</v>
      </c>
      <c r="J23" s="72">
        <v>-289483</v>
      </c>
      <c r="K23" s="72">
        <v>-281061</v>
      </c>
      <c r="L23" s="72">
        <v>-249795</v>
      </c>
      <c r="M23" s="72">
        <v>-377994</v>
      </c>
      <c r="N23" s="72">
        <v>-383901</v>
      </c>
      <c r="O23" s="72">
        <v>-370806</v>
      </c>
      <c r="P23" s="72">
        <v>-367598</v>
      </c>
      <c r="Q23" s="72">
        <v>-335956</v>
      </c>
      <c r="R23" s="72">
        <v>-332055</v>
      </c>
      <c r="S23" s="72">
        <v>-309387</v>
      </c>
      <c r="T23" s="72">
        <v>-301837</v>
      </c>
      <c r="U23" s="72">
        <v>-320453</v>
      </c>
      <c r="V23" s="72">
        <v>-340362</v>
      </c>
    </row>
    <row r="24" spans="1:22" ht="13" customHeight="1">
      <c r="A24" s="71" t="s">
        <v>332</v>
      </c>
      <c r="B24" s="71" t="s">
        <v>333</v>
      </c>
      <c r="C24" s="72">
        <v>-1632235</v>
      </c>
      <c r="D24" s="72">
        <v>-2409688</v>
      </c>
      <c r="E24" s="72">
        <v>-2337536</v>
      </c>
      <c r="F24" s="72">
        <v>-2511033</v>
      </c>
      <c r="G24" s="72">
        <v>-2753018</v>
      </c>
      <c r="H24" s="72">
        <v>-2888448</v>
      </c>
      <c r="I24" s="72">
        <v>-2891251</v>
      </c>
      <c r="J24" s="72">
        <v>-2840020</v>
      </c>
      <c r="K24" s="72">
        <v>-2816454</v>
      </c>
      <c r="L24" s="72">
        <v>-2782903</v>
      </c>
      <c r="M24" s="72">
        <v>-2631172</v>
      </c>
      <c r="N24" s="72">
        <v>-2408655</v>
      </c>
      <c r="O24" s="72">
        <v>-2287622</v>
      </c>
      <c r="P24" s="72">
        <v>-2422271</v>
      </c>
      <c r="Q24" s="72">
        <v>-2006144</v>
      </c>
      <c r="R24" s="72">
        <v>-2035439</v>
      </c>
      <c r="S24" s="72">
        <v>-2045127</v>
      </c>
      <c r="T24" s="72">
        <v>-2097640</v>
      </c>
      <c r="U24" s="72">
        <v>-1960171</v>
      </c>
      <c r="V24" s="72">
        <v>-1552866</v>
      </c>
    </row>
    <row r="25" spans="1:22" ht="13" customHeight="1">
      <c r="A25" s="71" t="s">
        <v>105</v>
      </c>
      <c r="B25" s="71" t="s">
        <v>334</v>
      </c>
      <c r="C25" s="72">
        <v>-24393</v>
      </c>
      <c r="D25" s="72">
        <v>-49810</v>
      </c>
      <c r="E25" s="72">
        <v>-31321</v>
      </c>
      <c r="F25" s="72">
        <v>-36309</v>
      </c>
      <c r="G25" s="72">
        <v>-38779</v>
      </c>
      <c r="H25" s="72">
        <v>-43382</v>
      </c>
      <c r="I25" s="72">
        <v>-47255</v>
      </c>
      <c r="J25" s="72">
        <v>-26938</v>
      </c>
      <c r="K25" s="72">
        <v>-27047</v>
      </c>
      <c r="L25" s="72">
        <v>-28595</v>
      </c>
      <c r="M25" s="72">
        <v>-56635</v>
      </c>
      <c r="N25" s="72">
        <v>-55602</v>
      </c>
      <c r="O25" s="72">
        <v>-55163</v>
      </c>
      <c r="P25" s="72">
        <v>-48382</v>
      </c>
      <c r="Q25" s="72">
        <v>-39889</v>
      </c>
      <c r="R25" s="72">
        <v>-36373</v>
      </c>
      <c r="S25" s="72">
        <v>-35313</v>
      </c>
      <c r="T25" s="72">
        <v>-31801</v>
      </c>
      <c r="U25" s="72">
        <v>-14191</v>
      </c>
      <c r="V25" s="72">
        <v>2389</v>
      </c>
    </row>
    <row r="26" spans="1:22" ht="13" customHeight="1">
      <c r="A26" s="69" t="s">
        <v>308</v>
      </c>
      <c r="B26" s="69" t="s">
        <v>142</v>
      </c>
      <c r="C26" s="70">
        <f t="shared" ref="C26:L26" si="30">C16+C21</f>
        <v>-4671485</v>
      </c>
      <c r="D26" s="70">
        <f t="shared" si="30"/>
        <v>-5474996</v>
      </c>
      <c r="E26" s="70">
        <f t="shared" si="30"/>
        <v>-5449005</v>
      </c>
      <c r="F26" s="70">
        <f t="shared" si="30"/>
        <v>-5680253</v>
      </c>
      <c r="G26" s="70">
        <f t="shared" si="30"/>
        <v>-6006986</v>
      </c>
      <c r="H26" s="70">
        <f t="shared" si="30"/>
        <v>-6349715</v>
      </c>
      <c r="I26" s="70">
        <f t="shared" si="30"/>
        <v>-6246521</v>
      </c>
      <c r="J26" s="70">
        <f t="shared" si="30"/>
        <v>-5782852</v>
      </c>
      <c r="K26" s="70">
        <f t="shared" si="30"/>
        <v>-5567705</v>
      </c>
      <c r="L26" s="70">
        <f t="shared" si="30"/>
        <v>-5602597</v>
      </c>
      <c r="M26" s="70">
        <f>M16+M21</f>
        <v>-5350392</v>
      </c>
      <c r="N26" s="70">
        <f t="shared" ref="N26:O26" si="31">N16+N21</f>
        <v>-5206772</v>
      </c>
      <c r="O26" s="70">
        <f t="shared" si="31"/>
        <v>-4961707</v>
      </c>
      <c r="P26" s="70">
        <f t="shared" ref="P26:Q26" si="32">P16+P21</f>
        <v>-5222247</v>
      </c>
      <c r="Q26" s="70">
        <f t="shared" si="32"/>
        <v>-4462157</v>
      </c>
      <c r="R26" s="70">
        <f t="shared" ref="R26:S26" si="33">R16+R21</f>
        <v>-4467900</v>
      </c>
      <c r="S26" s="70">
        <f t="shared" si="33"/>
        <v>-4306344</v>
      </c>
      <c r="T26" s="70">
        <f t="shared" ref="T26:U26" si="34">T16+T21</f>
        <v>-4437914</v>
      </c>
      <c r="U26" s="70">
        <f t="shared" si="34"/>
        <v>-4094859</v>
      </c>
      <c r="V26" s="70">
        <f t="shared" ref="V26" si="35">V16+V21</f>
        <v>-3693173.2436699998</v>
      </c>
    </row>
    <row r="27" spans="1:22" ht="13" customHeight="1">
      <c r="A27" s="99" t="s">
        <v>337</v>
      </c>
      <c r="B27" s="99" t="s">
        <v>330</v>
      </c>
      <c r="C27" s="72"/>
      <c r="D27" s="72"/>
      <c r="E27" s="73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</row>
    <row r="28" spans="1:22" ht="13" customHeight="1">
      <c r="A28" s="69" t="s">
        <v>300</v>
      </c>
      <c r="B28" s="69" t="s">
        <v>134</v>
      </c>
      <c r="C28" s="70">
        <f>SUM(C29:C32)</f>
        <v>29443496</v>
      </c>
      <c r="D28" s="70">
        <f t="shared" ref="D28:L28" si="36">SUM(D29:D32)</f>
        <v>31020621</v>
      </c>
      <c r="E28" s="70">
        <f t="shared" si="36"/>
        <v>31842555</v>
      </c>
      <c r="F28" s="70">
        <f t="shared" si="36"/>
        <v>32346252</v>
      </c>
      <c r="G28" s="70">
        <f t="shared" si="36"/>
        <v>32451823</v>
      </c>
      <c r="H28" s="70">
        <f t="shared" si="36"/>
        <v>33288397</v>
      </c>
      <c r="I28" s="70">
        <f t="shared" si="36"/>
        <v>33893617</v>
      </c>
      <c r="J28" s="70">
        <f t="shared" si="36"/>
        <v>34202932</v>
      </c>
      <c r="K28" s="70">
        <f t="shared" si="36"/>
        <v>34693870</v>
      </c>
      <c r="L28" s="70">
        <f t="shared" si="36"/>
        <v>35499363</v>
      </c>
      <c r="M28" s="70">
        <f>SUM(M29:M32)</f>
        <v>36392031</v>
      </c>
      <c r="N28" s="70">
        <f t="shared" ref="N28:O28" si="37">SUM(N29:N32)</f>
        <v>36293755</v>
      </c>
      <c r="O28" s="70">
        <f t="shared" si="37"/>
        <v>36081653</v>
      </c>
      <c r="P28" s="70">
        <f t="shared" ref="P28:Q28" si="38">SUM(P29:P32)</f>
        <v>35631490</v>
      </c>
      <c r="Q28" s="70">
        <f t="shared" si="38"/>
        <v>35229849</v>
      </c>
      <c r="R28" s="70">
        <f t="shared" ref="R28:S28" si="39">SUM(R29:R32)</f>
        <v>34839040</v>
      </c>
      <c r="S28" s="70">
        <f t="shared" si="39"/>
        <v>35081412</v>
      </c>
      <c r="T28" s="70">
        <f t="shared" ref="T28:U28" si="40">SUM(T29:T32)</f>
        <v>36126650</v>
      </c>
      <c r="U28" s="70">
        <f t="shared" si="40"/>
        <v>37995750</v>
      </c>
      <c r="V28" s="70">
        <f t="shared" ref="V28" si="41">SUM(V29:V32)</f>
        <v>39163373.756329998</v>
      </c>
    </row>
    <row r="29" spans="1:22" ht="13" customHeight="1">
      <c r="A29" s="71" t="s">
        <v>331</v>
      </c>
      <c r="B29" s="71" t="s">
        <v>104</v>
      </c>
      <c r="C29" s="72">
        <f t="shared" ref="C29:L29" si="42">C5+C17</f>
        <v>25988622</v>
      </c>
      <c r="D29" s="72">
        <f t="shared" si="42"/>
        <v>27767455</v>
      </c>
      <c r="E29" s="72">
        <f t="shared" si="42"/>
        <v>28752133</v>
      </c>
      <c r="F29" s="72">
        <f t="shared" si="42"/>
        <v>29207635</v>
      </c>
      <c r="G29" s="72">
        <f t="shared" si="42"/>
        <v>29011215</v>
      </c>
      <c r="H29" s="72">
        <f t="shared" si="42"/>
        <v>29894569</v>
      </c>
      <c r="I29" s="72">
        <f t="shared" si="42"/>
        <v>30648473</v>
      </c>
      <c r="J29" s="72">
        <f t="shared" si="42"/>
        <v>31150864</v>
      </c>
      <c r="K29" s="72">
        <f t="shared" si="42"/>
        <v>31832259</v>
      </c>
      <c r="L29" s="72">
        <f t="shared" si="42"/>
        <v>32624647</v>
      </c>
      <c r="M29" s="72">
        <f>M5+M17</f>
        <v>33971247</v>
      </c>
      <c r="N29" s="72">
        <f t="shared" ref="N29:O29" si="43">N5+N17</f>
        <v>33833596</v>
      </c>
      <c r="O29" s="72">
        <f t="shared" si="43"/>
        <v>33426332</v>
      </c>
      <c r="P29" s="72">
        <f t="shared" ref="P29:Q29" si="44">P5+P17</f>
        <v>32624334</v>
      </c>
      <c r="Q29" s="72">
        <f t="shared" si="44"/>
        <v>32341714</v>
      </c>
      <c r="R29" s="72">
        <f t="shared" ref="R29:S29" si="45">R5+R17</f>
        <v>31901869</v>
      </c>
      <c r="S29" s="72">
        <f t="shared" si="45"/>
        <v>32117518</v>
      </c>
      <c r="T29" s="72">
        <f t="shared" ref="T29:U29" si="46">T5+T17</f>
        <v>33046963</v>
      </c>
      <c r="U29" s="72">
        <f t="shared" si="46"/>
        <v>34906907</v>
      </c>
      <c r="V29" s="72">
        <f t="shared" ref="V29" si="47">V5+V17</f>
        <v>36052615</v>
      </c>
    </row>
    <row r="30" spans="1:22" ht="13" customHeight="1">
      <c r="A30" s="71" t="s">
        <v>266</v>
      </c>
      <c r="B30" s="71" t="s">
        <v>101</v>
      </c>
      <c r="C30" s="72">
        <f t="shared" ref="C30:L30" si="48">C6+C18</f>
        <v>2405122</v>
      </c>
      <c r="D30" s="72">
        <f t="shared" si="48"/>
        <v>2255635</v>
      </c>
      <c r="E30" s="72">
        <f t="shared" si="48"/>
        <v>2108113</v>
      </c>
      <c r="F30" s="72">
        <f t="shared" si="48"/>
        <v>2141647</v>
      </c>
      <c r="G30" s="72">
        <f t="shared" si="48"/>
        <v>2418044</v>
      </c>
      <c r="H30" s="72">
        <f t="shared" si="48"/>
        <v>2323980</v>
      </c>
      <c r="I30" s="72">
        <f t="shared" si="48"/>
        <v>2225739</v>
      </c>
      <c r="J30" s="72">
        <f t="shared" si="48"/>
        <v>2108713</v>
      </c>
      <c r="K30" s="72">
        <f t="shared" si="48"/>
        <v>1997029</v>
      </c>
      <c r="L30" s="72">
        <f t="shared" si="48"/>
        <v>2017086</v>
      </c>
      <c r="M30" s="72">
        <f>M6+M18</f>
        <v>1627927</v>
      </c>
      <c r="N30" s="72">
        <f t="shared" ref="N30:O30" si="49">N6+N18</f>
        <v>1683422</v>
      </c>
      <c r="O30" s="72">
        <f t="shared" si="49"/>
        <v>1913830</v>
      </c>
      <c r="P30" s="72">
        <f t="shared" ref="P30:Q30" si="50">P6+P18</f>
        <v>2191281</v>
      </c>
      <c r="Q30" s="72">
        <f t="shared" si="50"/>
        <v>2153120</v>
      </c>
      <c r="R30" s="72">
        <f t="shared" ref="R30:S30" si="51">R6+R18</f>
        <v>2167930</v>
      </c>
      <c r="S30" s="72">
        <f t="shared" si="51"/>
        <v>2245369</v>
      </c>
      <c r="T30" s="72">
        <f t="shared" ref="T30:U30" si="52">T6+T18</f>
        <v>2314129</v>
      </c>
      <c r="U30" s="72">
        <f t="shared" si="52"/>
        <v>2387252</v>
      </c>
      <c r="V30" s="72">
        <f t="shared" ref="V30" si="53">V6+V18</f>
        <v>2405583</v>
      </c>
    </row>
    <row r="31" spans="1:22" ht="13" customHeight="1">
      <c r="A31" s="71" t="s">
        <v>332</v>
      </c>
      <c r="B31" s="71" t="s">
        <v>333</v>
      </c>
      <c r="C31" s="72">
        <f t="shared" ref="C31:L31" si="54">C7+C19</f>
        <v>948015</v>
      </c>
      <c r="D31" s="72">
        <f t="shared" si="54"/>
        <v>931525</v>
      </c>
      <c r="E31" s="72">
        <f t="shared" si="54"/>
        <v>925774</v>
      </c>
      <c r="F31" s="72">
        <f t="shared" si="54"/>
        <v>949376</v>
      </c>
      <c r="G31" s="72">
        <f t="shared" si="54"/>
        <v>974248</v>
      </c>
      <c r="H31" s="72">
        <f t="shared" si="54"/>
        <v>1026121</v>
      </c>
      <c r="I31" s="72">
        <f t="shared" si="54"/>
        <v>982795</v>
      </c>
      <c r="J31" s="72">
        <f t="shared" si="54"/>
        <v>911838</v>
      </c>
      <c r="K31" s="72">
        <f t="shared" si="54"/>
        <v>838803</v>
      </c>
      <c r="L31" s="72">
        <f t="shared" si="54"/>
        <v>835141</v>
      </c>
      <c r="M31" s="72">
        <f>M7+M19</f>
        <v>777513</v>
      </c>
      <c r="N31" s="72">
        <f t="shared" ref="N31:O31" si="55">N7+N19</f>
        <v>763372</v>
      </c>
      <c r="O31" s="72">
        <f t="shared" si="55"/>
        <v>728866</v>
      </c>
      <c r="P31" s="72">
        <f t="shared" ref="P31:Q31" si="56">P7+P19</f>
        <v>803643</v>
      </c>
      <c r="Q31" s="72">
        <f t="shared" si="56"/>
        <v>722567</v>
      </c>
      <c r="R31" s="72">
        <f t="shared" ref="R31:S31" si="57">R7+R19</f>
        <v>755843</v>
      </c>
      <c r="S31" s="72">
        <f t="shared" si="57"/>
        <v>704256</v>
      </c>
      <c r="T31" s="72">
        <f t="shared" ref="T31:U31" si="58">T7+T19</f>
        <v>733423</v>
      </c>
      <c r="U31" s="72">
        <f t="shared" si="58"/>
        <v>670551</v>
      </c>
      <c r="V31" s="72">
        <f t="shared" ref="V31" si="59">V7+V19</f>
        <v>671980</v>
      </c>
    </row>
    <row r="32" spans="1:22" ht="13" customHeight="1">
      <c r="A32" s="71" t="s">
        <v>105</v>
      </c>
      <c r="B32" s="71" t="s">
        <v>334</v>
      </c>
      <c r="C32" s="72">
        <f t="shared" ref="C32:L32" si="60">C8+C20</f>
        <v>101737</v>
      </c>
      <c r="D32" s="72">
        <f t="shared" si="60"/>
        <v>66006</v>
      </c>
      <c r="E32" s="72">
        <f t="shared" si="60"/>
        <v>56535</v>
      </c>
      <c r="F32" s="72">
        <f t="shared" si="60"/>
        <v>47594</v>
      </c>
      <c r="G32" s="72">
        <f t="shared" si="60"/>
        <v>48316</v>
      </c>
      <c r="H32" s="72">
        <f t="shared" si="60"/>
        <v>43727</v>
      </c>
      <c r="I32" s="72">
        <f t="shared" si="60"/>
        <v>36610</v>
      </c>
      <c r="J32" s="72">
        <f t="shared" si="60"/>
        <v>31517</v>
      </c>
      <c r="K32" s="72">
        <f t="shared" si="60"/>
        <v>25779</v>
      </c>
      <c r="L32" s="72">
        <f t="shared" si="60"/>
        <v>22489</v>
      </c>
      <c r="M32" s="72">
        <f>M8+M20</f>
        <v>15344</v>
      </c>
      <c r="N32" s="72">
        <f t="shared" ref="N32:O32" si="61">N8+N20</f>
        <v>13365</v>
      </c>
      <c r="O32" s="72">
        <f t="shared" si="61"/>
        <v>12625</v>
      </c>
      <c r="P32" s="72">
        <f t="shared" ref="P32:Q32" si="62">P8+P20</f>
        <v>12232</v>
      </c>
      <c r="Q32" s="72">
        <f t="shared" si="62"/>
        <v>12448</v>
      </c>
      <c r="R32" s="72">
        <f t="shared" ref="R32:S32" si="63">R8+R20</f>
        <v>13398</v>
      </c>
      <c r="S32" s="72">
        <f t="shared" si="63"/>
        <v>14269</v>
      </c>
      <c r="T32" s="72">
        <f t="shared" ref="T32:U32" si="64">T8+T20</f>
        <v>32135</v>
      </c>
      <c r="U32" s="72">
        <f t="shared" si="64"/>
        <v>31040</v>
      </c>
      <c r="V32" s="72">
        <f t="shared" ref="V32" si="65">V8+V20</f>
        <v>33195.756330000004</v>
      </c>
    </row>
    <row r="33" spans="1:22" ht="13" customHeight="1">
      <c r="A33" s="69" t="s">
        <v>304</v>
      </c>
      <c r="B33" s="69" t="s">
        <v>138</v>
      </c>
      <c r="C33" s="70">
        <f>SUM(C34:C37)</f>
        <v>24802516</v>
      </c>
      <c r="D33" s="70">
        <f t="shared" ref="D33:L33" si="66">SUM(D34:D37)</f>
        <v>25663863</v>
      </c>
      <c r="E33" s="70">
        <f t="shared" si="66"/>
        <v>24001967</v>
      </c>
      <c r="F33" s="70">
        <f t="shared" si="66"/>
        <v>24171874</v>
      </c>
      <c r="G33" s="70">
        <f t="shared" si="66"/>
        <v>23251657</v>
      </c>
      <c r="H33" s="70">
        <f t="shared" si="66"/>
        <v>22707487</v>
      </c>
      <c r="I33" s="70">
        <f t="shared" si="66"/>
        <v>22321805</v>
      </c>
      <c r="J33" s="70">
        <f t="shared" si="66"/>
        <v>22069677</v>
      </c>
      <c r="K33" s="70">
        <f t="shared" si="66"/>
        <v>22334539</v>
      </c>
      <c r="L33" s="70">
        <f t="shared" si="66"/>
        <v>22333890</v>
      </c>
      <c r="M33" s="70">
        <f>SUM(M34:M37)</f>
        <v>21836147</v>
      </c>
      <c r="N33" s="70">
        <f t="shared" ref="N33:O33" si="67">SUM(N34:N37)</f>
        <v>21856878</v>
      </c>
      <c r="O33" s="70">
        <f t="shared" si="67"/>
        <v>22190158</v>
      </c>
      <c r="P33" s="70">
        <f t="shared" ref="P33:Q33" si="68">SUM(P34:P37)</f>
        <v>22822199</v>
      </c>
      <c r="Q33" s="70">
        <f t="shared" si="68"/>
        <v>22380027</v>
      </c>
      <c r="R33" s="70">
        <f t="shared" ref="R33:S33" si="69">SUM(R34:R37)</f>
        <v>22960444</v>
      </c>
      <c r="S33" s="70">
        <f t="shared" si="69"/>
        <v>23308820</v>
      </c>
      <c r="T33" s="70">
        <f t="shared" ref="T33:U33" si="70">SUM(T34:T37)</f>
        <v>23856244</v>
      </c>
      <c r="U33" s="70">
        <f t="shared" si="70"/>
        <v>22969347</v>
      </c>
      <c r="V33" s="70">
        <f t="shared" ref="V33" si="71">SUM(V34:V37)</f>
        <v>23462471</v>
      </c>
    </row>
    <row r="34" spans="1:22" ht="13" customHeight="1">
      <c r="A34" s="71" t="s">
        <v>331</v>
      </c>
      <c r="B34" s="71" t="s">
        <v>104</v>
      </c>
      <c r="C34" s="72">
        <f t="shared" ref="C34:L34" si="72">C10+C22</f>
        <v>18786961</v>
      </c>
      <c r="D34" s="72">
        <f t="shared" si="72"/>
        <v>19035396</v>
      </c>
      <c r="E34" s="72">
        <f t="shared" si="72"/>
        <v>17136718</v>
      </c>
      <c r="F34" s="72">
        <f t="shared" si="72"/>
        <v>16927285</v>
      </c>
      <c r="G34" s="72">
        <f t="shared" si="72"/>
        <v>15331741</v>
      </c>
      <c r="H34" s="72">
        <f t="shared" si="72"/>
        <v>15011092</v>
      </c>
      <c r="I34" s="72">
        <f t="shared" si="72"/>
        <v>14645635</v>
      </c>
      <c r="J34" s="72">
        <f t="shared" si="72"/>
        <v>14588710</v>
      </c>
      <c r="K34" s="72">
        <f t="shared" si="72"/>
        <v>15124358</v>
      </c>
      <c r="L34" s="72">
        <f t="shared" si="72"/>
        <v>15431541</v>
      </c>
      <c r="M34" s="72">
        <f>M10+M22</f>
        <v>14193187</v>
      </c>
      <c r="N34" s="72">
        <f t="shared" ref="N34:O34" si="73">N10+N22</f>
        <v>14274366</v>
      </c>
      <c r="O34" s="72">
        <f t="shared" si="73"/>
        <v>14791886</v>
      </c>
      <c r="P34" s="72">
        <f t="shared" ref="P34:Q34" si="74">P10+P22</f>
        <v>15614007</v>
      </c>
      <c r="Q34" s="72">
        <f t="shared" si="74"/>
        <v>15613488</v>
      </c>
      <c r="R34" s="72">
        <f t="shared" ref="R34:S34" si="75">R10+R22</f>
        <v>16073785</v>
      </c>
      <c r="S34" s="72">
        <f t="shared" si="75"/>
        <v>16541729</v>
      </c>
      <c r="T34" s="72">
        <f t="shared" ref="T34:U34" si="76">T10+T22</f>
        <v>17065180</v>
      </c>
      <c r="U34" s="72">
        <f t="shared" si="76"/>
        <v>16458733</v>
      </c>
      <c r="V34" s="72">
        <f t="shared" ref="V34" si="77">V10+V22</f>
        <v>17012590</v>
      </c>
    </row>
    <row r="35" spans="1:22" ht="13" customHeight="1">
      <c r="A35" s="71" t="s">
        <v>266</v>
      </c>
      <c r="B35" s="71" t="s">
        <v>101</v>
      </c>
      <c r="C35" s="72">
        <f t="shared" ref="C35:L35" si="78">C11+C23</f>
        <v>3180132</v>
      </c>
      <c r="D35" s="72">
        <f t="shared" si="78"/>
        <v>3420814</v>
      </c>
      <c r="E35" s="72">
        <f t="shared" si="78"/>
        <v>3184430</v>
      </c>
      <c r="F35" s="72">
        <f t="shared" si="78"/>
        <v>3409804</v>
      </c>
      <c r="G35" s="72">
        <f t="shared" si="78"/>
        <v>4580967</v>
      </c>
      <c r="H35" s="72">
        <f t="shared" si="78"/>
        <v>4346778</v>
      </c>
      <c r="I35" s="72">
        <f t="shared" si="78"/>
        <v>4613088</v>
      </c>
      <c r="J35" s="72">
        <f t="shared" si="78"/>
        <v>4469618</v>
      </c>
      <c r="K35" s="72">
        <f t="shared" si="78"/>
        <v>4355202</v>
      </c>
      <c r="L35" s="72">
        <f t="shared" si="78"/>
        <v>4133186</v>
      </c>
      <c r="M35" s="72">
        <f>M11+M23</f>
        <v>5091156</v>
      </c>
      <c r="N35" s="72">
        <f t="shared" ref="N35:O35" si="79">N11+N23</f>
        <v>5179636</v>
      </c>
      <c r="O35" s="72">
        <f t="shared" si="79"/>
        <v>5106011</v>
      </c>
      <c r="P35" s="72">
        <f t="shared" ref="P35:Q35" si="80">P11+P23</f>
        <v>4992184</v>
      </c>
      <c r="Q35" s="72">
        <f t="shared" si="80"/>
        <v>4638727</v>
      </c>
      <c r="R35" s="72">
        <f t="shared" ref="R35:S35" si="81">R11+R23</f>
        <v>4786338</v>
      </c>
      <c r="S35" s="72">
        <f t="shared" si="81"/>
        <v>4665716</v>
      </c>
      <c r="T35" s="72">
        <f t="shared" ref="T35:U35" si="82">T11+T23</f>
        <v>4743026</v>
      </c>
      <c r="U35" s="72">
        <f t="shared" si="82"/>
        <v>4609376</v>
      </c>
      <c r="V35" s="72">
        <f t="shared" ref="V35" si="83">V11+V23</f>
        <v>4642149</v>
      </c>
    </row>
    <row r="36" spans="1:22" ht="13" customHeight="1">
      <c r="A36" s="71" t="s">
        <v>332</v>
      </c>
      <c r="B36" s="71" t="s">
        <v>333</v>
      </c>
      <c r="C36" s="72">
        <f t="shared" ref="C36:L36" si="84">C12+C24</f>
        <v>2599587</v>
      </c>
      <c r="D36" s="72">
        <f t="shared" si="84"/>
        <v>3001279</v>
      </c>
      <c r="E36" s="72">
        <f t="shared" si="84"/>
        <v>3492553</v>
      </c>
      <c r="F36" s="72">
        <f t="shared" si="84"/>
        <v>3647555</v>
      </c>
      <c r="G36" s="72">
        <f t="shared" si="84"/>
        <v>3163910</v>
      </c>
      <c r="H36" s="72">
        <f t="shared" si="84"/>
        <v>3180442</v>
      </c>
      <c r="I36" s="72">
        <f t="shared" si="84"/>
        <v>2897034</v>
      </c>
      <c r="J36" s="72">
        <f t="shared" si="84"/>
        <v>2847030</v>
      </c>
      <c r="K36" s="72">
        <f t="shared" si="84"/>
        <v>2698802</v>
      </c>
      <c r="L36" s="72">
        <f t="shared" si="84"/>
        <v>2615735</v>
      </c>
      <c r="M36" s="72">
        <f>M12+M24</f>
        <v>2371728</v>
      </c>
      <c r="N36" s="72">
        <f t="shared" ref="N36:O36" si="85">N12+N24</f>
        <v>2225914</v>
      </c>
      <c r="O36" s="72">
        <f t="shared" si="85"/>
        <v>2109634</v>
      </c>
      <c r="P36" s="72">
        <f t="shared" ref="P36:Q36" si="86">P12+P24</f>
        <v>2057564</v>
      </c>
      <c r="Q36" s="72">
        <f t="shared" si="86"/>
        <v>1951513</v>
      </c>
      <c r="R36" s="72">
        <f t="shared" ref="R36:S36" si="87">R12+R24</f>
        <v>1893189</v>
      </c>
      <c r="S36" s="72">
        <f t="shared" si="87"/>
        <v>1882460</v>
      </c>
      <c r="T36" s="72">
        <f t="shared" ref="T36:U36" si="88">T12+T24</f>
        <v>1786396</v>
      </c>
      <c r="U36" s="72">
        <f t="shared" si="88"/>
        <v>1632506</v>
      </c>
      <c r="V36" s="72">
        <f t="shared" ref="V36" si="89">V12+V24</f>
        <v>1555309</v>
      </c>
    </row>
    <row r="37" spans="1:22" ht="13" customHeight="1">
      <c r="A37" s="71" t="s">
        <v>105</v>
      </c>
      <c r="B37" s="71" t="s">
        <v>334</v>
      </c>
      <c r="C37" s="72">
        <f t="shared" ref="C37:L37" si="90">C13+C25</f>
        <v>235836</v>
      </c>
      <c r="D37" s="72">
        <f t="shared" si="90"/>
        <v>206374</v>
      </c>
      <c r="E37" s="72">
        <f t="shared" si="90"/>
        <v>188266</v>
      </c>
      <c r="F37" s="72">
        <f t="shared" si="90"/>
        <v>187230</v>
      </c>
      <c r="G37" s="72">
        <f t="shared" si="90"/>
        <v>175039</v>
      </c>
      <c r="H37" s="72">
        <f t="shared" si="90"/>
        <v>169175</v>
      </c>
      <c r="I37" s="72">
        <f t="shared" si="90"/>
        <v>166048</v>
      </c>
      <c r="J37" s="72">
        <f t="shared" si="90"/>
        <v>164319</v>
      </c>
      <c r="K37" s="72">
        <f t="shared" si="90"/>
        <v>156177</v>
      </c>
      <c r="L37" s="72">
        <f t="shared" si="90"/>
        <v>153428</v>
      </c>
      <c r="M37" s="72">
        <f>M13+M25</f>
        <v>180076</v>
      </c>
      <c r="N37" s="72">
        <f t="shared" ref="N37:O37" si="91">N13+N25</f>
        <v>176962</v>
      </c>
      <c r="O37" s="72">
        <f t="shared" si="91"/>
        <v>182627</v>
      </c>
      <c r="P37" s="72">
        <f t="shared" ref="P37:Q37" si="92">P13+P25</f>
        <v>158444</v>
      </c>
      <c r="Q37" s="72">
        <f t="shared" si="92"/>
        <v>176299</v>
      </c>
      <c r="R37" s="72">
        <f t="shared" ref="R37:S37" si="93">R13+R25</f>
        <v>207132</v>
      </c>
      <c r="S37" s="72">
        <f t="shared" si="93"/>
        <v>218915</v>
      </c>
      <c r="T37" s="72">
        <f t="shared" ref="T37:U37" si="94">T13+T25</f>
        <v>261642</v>
      </c>
      <c r="U37" s="72">
        <f t="shared" si="94"/>
        <v>268732</v>
      </c>
      <c r="V37" s="72">
        <f t="shared" ref="V37" si="95">V13+V25</f>
        <v>252423</v>
      </c>
    </row>
    <row r="38" spans="1:22" ht="13" customHeight="1">
      <c r="A38" s="69" t="s">
        <v>308</v>
      </c>
      <c r="B38" s="69" t="s">
        <v>142</v>
      </c>
      <c r="C38" s="70">
        <f>C28+C33</f>
        <v>54246012</v>
      </c>
      <c r="D38" s="70">
        <f t="shared" ref="D38:L38" si="96">D28+D33</f>
        <v>56684484</v>
      </c>
      <c r="E38" s="70">
        <f t="shared" si="96"/>
        <v>55844522</v>
      </c>
      <c r="F38" s="70">
        <f t="shared" si="96"/>
        <v>56518126</v>
      </c>
      <c r="G38" s="70">
        <f t="shared" si="96"/>
        <v>55703480</v>
      </c>
      <c r="H38" s="70">
        <f t="shared" si="96"/>
        <v>55995884</v>
      </c>
      <c r="I38" s="70">
        <f t="shared" si="96"/>
        <v>56215422</v>
      </c>
      <c r="J38" s="70">
        <f t="shared" si="96"/>
        <v>56272609</v>
      </c>
      <c r="K38" s="70">
        <f t="shared" si="96"/>
        <v>57028409</v>
      </c>
      <c r="L38" s="70">
        <f t="shared" si="96"/>
        <v>57833253</v>
      </c>
      <c r="M38" s="70">
        <f>M28+M33</f>
        <v>58228178</v>
      </c>
      <c r="N38" s="70">
        <f t="shared" ref="N38:O38" si="97">N28+N33</f>
        <v>58150633</v>
      </c>
      <c r="O38" s="70">
        <f t="shared" si="97"/>
        <v>58271811</v>
      </c>
      <c r="P38" s="70">
        <f t="shared" ref="P38:Q38" si="98">P28+P33</f>
        <v>58453689</v>
      </c>
      <c r="Q38" s="70">
        <f t="shared" si="98"/>
        <v>57609876</v>
      </c>
      <c r="R38" s="70">
        <f t="shared" ref="R38:S38" si="99">R28+R33</f>
        <v>57799484</v>
      </c>
      <c r="S38" s="70">
        <f t="shared" si="99"/>
        <v>58390232</v>
      </c>
      <c r="T38" s="70">
        <f t="shared" ref="T38:U38" si="100">T28+T33</f>
        <v>59982894</v>
      </c>
      <c r="U38" s="70">
        <f t="shared" si="100"/>
        <v>60965097</v>
      </c>
      <c r="V38" s="70">
        <f t="shared" ref="V38" si="101">V28+V33</f>
        <v>62625844.756329998</v>
      </c>
    </row>
    <row r="40" spans="1:22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M15"/>
  <sheetViews>
    <sheetView zoomScaleNormal="100" workbookViewId="0">
      <pane xSplit="2" ySplit="2" topLeftCell="AI3" activePane="bottomRight" state="frozen"/>
      <selection sqref="A1:B1048576"/>
      <selection pane="topRight" sqref="A1:B1048576"/>
      <selection pane="bottomLeft" sqref="A1:B1048576"/>
      <selection pane="bottomRight" activeCell="AK8" sqref="AK8"/>
    </sheetView>
  </sheetViews>
  <sheetFormatPr defaultColWidth="9.33203125" defaultRowHeight="11.5"/>
  <cols>
    <col min="1" max="2" width="50.6640625" style="2" customWidth="1"/>
    <col min="3" max="33" width="10.6640625" style="2" customWidth="1"/>
    <col min="34" max="34" width="9.33203125" style="2"/>
    <col min="35" max="37" width="10.6640625" style="2" customWidth="1"/>
    <col min="38" max="16384" width="9.332031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</row>
    <row r="2" spans="1:39" ht="13" customHeight="1" thickBot="1">
      <c r="A2" s="1" t="s">
        <v>315</v>
      </c>
      <c r="B2" s="1" t="s">
        <v>143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</row>
    <row r="3" spans="1:39" ht="13" customHeight="1">
      <c r="A3" s="22" t="s">
        <v>300</v>
      </c>
      <c r="B3" s="22" t="s">
        <v>134</v>
      </c>
      <c r="C3" s="43">
        <f t="shared" ref="C3:S3" si="0">SUM(C4:C8)</f>
        <v>18602544</v>
      </c>
      <c r="D3" s="43">
        <f t="shared" si="0"/>
        <v>18958037</v>
      </c>
      <c r="E3" s="43">
        <f t="shared" si="0"/>
        <v>20313847</v>
      </c>
      <c r="F3" s="43">
        <f t="shared" si="0"/>
        <v>21409075</v>
      </c>
      <c r="G3" s="43">
        <f t="shared" si="0"/>
        <v>23293384.226353612</v>
      </c>
      <c r="H3" s="43">
        <f t="shared" si="0"/>
        <v>24557685</v>
      </c>
      <c r="I3" s="43">
        <f t="shared" si="0"/>
        <v>23926333</v>
      </c>
      <c r="J3" s="43">
        <f t="shared" si="0"/>
        <v>32035389</v>
      </c>
      <c r="K3" s="43">
        <f t="shared" si="0"/>
        <v>32216158</v>
      </c>
      <c r="L3" s="43">
        <f t="shared" si="0"/>
        <v>31817376</v>
      </c>
      <c r="M3" s="43">
        <f t="shared" si="0"/>
        <v>33641692</v>
      </c>
      <c r="N3" s="43">
        <f t="shared" si="0"/>
        <v>36572276</v>
      </c>
      <c r="O3" s="43">
        <f t="shared" si="0"/>
        <v>38203834</v>
      </c>
      <c r="P3" s="43">
        <f t="shared" si="0"/>
        <v>39265678</v>
      </c>
      <c r="Q3" s="43">
        <f t="shared" si="0"/>
        <v>40942402</v>
      </c>
      <c r="R3" s="43">
        <f t="shared" si="0"/>
        <v>43944874</v>
      </c>
      <c r="S3" s="43">
        <f t="shared" si="0"/>
        <v>45124679</v>
      </c>
      <c r="T3" s="43">
        <f t="shared" ref="T3:Y3" si="1">SUM(T4:T8)</f>
        <v>45421557</v>
      </c>
      <c r="U3" s="43">
        <f t="shared" si="1"/>
        <v>46641689</v>
      </c>
      <c r="V3" s="43">
        <f t="shared" si="1"/>
        <v>46603066</v>
      </c>
      <c r="W3" s="43">
        <f t="shared" si="1"/>
        <v>47261859</v>
      </c>
      <c r="X3" s="43">
        <f t="shared" si="1"/>
        <v>46451100</v>
      </c>
      <c r="Y3" s="43">
        <f t="shared" si="1"/>
        <v>45600476</v>
      </c>
      <c r="Z3" s="67">
        <f t="shared" ref="Z3:AE3" si="2">SUM(Z4:Z8)</f>
        <v>45702199</v>
      </c>
      <c r="AA3" s="67">
        <f t="shared" si="2"/>
        <v>46903018</v>
      </c>
      <c r="AB3" s="67">
        <f t="shared" si="2"/>
        <v>46450790</v>
      </c>
      <c r="AC3" s="67">
        <f t="shared" si="2"/>
        <v>46216622</v>
      </c>
      <c r="AD3" s="67">
        <f t="shared" si="2"/>
        <v>49020278</v>
      </c>
      <c r="AE3" s="67">
        <f t="shared" si="2"/>
        <v>49334784</v>
      </c>
      <c r="AF3" s="67">
        <f t="shared" ref="AF3:AG3" si="3">SUM(AF4:AF8)</f>
        <v>49590907</v>
      </c>
      <c r="AG3" s="67">
        <f t="shared" si="3"/>
        <v>51733227</v>
      </c>
      <c r="AH3" s="67">
        <f t="shared" ref="AH3:AI3" si="4">SUM(AH4:AH8)</f>
        <v>51071189</v>
      </c>
      <c r="AI3" s="67">
        <f t="shared" si="4"/>
        <v>50397187</v>
      </c>
      <c r="AJ3" s="67">
        <f t="shared" ref="AJ3:AL3" si="5">SUM(AJ4:AJ8)</f>
        <v>49344161</v>
      </c>
      <c r="AK3" s="67">
        <f t="shared" si="5"/>
        <v>50635337</v>
      </c>
      <c r="AL3" s="67">
        <f t="shared" si="5"/>
        <v>51929220</v>
      </c>
      <c r="AM3" s="67">
        <f t="shared" ref="AM3" si="6">SUM(AM4:AM8)</f>
        <v>52722165</v>
      </c>
    </row>
    <row r="4" spans="1:39" ht="13" customHeight="1">
      <c r="A4" s="24" t="s">
        <v>310</v>
      </c>
      <c r="B4" s="24" t="s">
        <v>144</v>
      </c>
      <c r="C4" s="44">
        <v>8191850</v>
      </c>
      <c r="D4" s="44">
        <v>8260354</v>
      </c>
      <c r="E4" s="44">
        <v>8326825</v>
      </c>
      <c r="F4" s="44">
        <v>8485256</v>
      </c>
      <c r="G4" s="44">
        <v>8999422.0133926105</v>
      </c>
      <c r="H4" s="44">
        <v>9895455</v>
      </c>
      <c r="I4" s="44">
        <v>10868443</v>
      </c>
      <c r="J4" s="44">
        <v>17264837</v>
      </c>
      <c r="K4" s="44">
        <v>18189512</v>
      </c>
      <c r="L4" s="44">
        <v>19024759</v>
      </c>
      <c r="M4" s="44">
        <v>20181856</v>
      </c>
      <c r="N4" s="44">
        <v>22584687</v>
      </c>
      <c r="O4" s="44">
        <v>23415405</v>
      </c>
      <c r="P4" s="44">
        <v>25148810</v>
      </c>
      <c r="Q4" s="44">
        <v>26864801</v>
      </c>
      <c r="R4" s="44">
        <v>28546686</v>
      </c>
      <c r="S4" s="44">
        <v>29142048</v>
      </c>
      <c r="T4" s="44">
        <v>29051784</v>
      </c>
      <c r="U4" s="44">
        <v>30327179</v>
      </c>
      <c r="V4" s="44">
        <v>30700187</v>
      </c>
      <c r="W4" s="44">
        <v>32402580</v>
      </c>
      <c r="X4" s="44">
        <v>33918564</v>
      </c>
      <c r="Y4" s="44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  <c r="AJ4" s="7">
        <v>34330858</v>
      </c>
      <c r="AK4" s="7">
        <v>36003930</v>
      </c>
      <c r="AL4" s="7">
        <v>36284917</v>
      </c>
      <c r="AM4" s="7">
        <v>37179835</v>
      </c>
    </row>
    <row r="5" spans="1:39" ht="13" customHeight="1">
      <c r="A5" s="24" t="s">
        <v>311</v>
      </c>
      <c r="B5" s="24" t="s">
        <v>145</v>
      </c>
      <c r="C5" s="44">
        <v>9996333</v>
      </c>
      <c r="D5" s="44">
        <v>10366322</v>
      </c>
      <c r="E5" s="44">
        <v>11669398</v>
      </c>
      <c r="F5" s="44">
        <v>12666033</v>
      </c>
      <c r="G5" s="44">
        <v>14023331.1339202</v>
      </c>
      <c r="H5" s="44">
        <v>14356779</v>
      </c>
      <c r="I5" s="44">
        <v>12599010</v>
      </c>
      <c r="J5" s="44">
        <v>13908933</v>
      </c>
      <c r="K5" s="44">
        <v>12919108</v>
      </c>
      <c r="L5" s="44">
        <v>11592577</v>
      </c>
      <c r="M5" s="44">
        <v>11948221</v>
      </c>
      <c r="N5" s="44">
        <v>12134722</v>
      </c>
      <c r="O5" s="44">
        <v>12640201</v>
      </c>
      <c r="P5" s="44">
        <v>11685081</v>
      </c>
      <c r="Q5" s="44">
        <v>11550259</v>
      </c>
      <c r="R5" s="44">
        <v>12777384</v>
      </c>
      <c r="S5" s="44">
        <v>13358433</v>
      </c>
      <c r="T5" s="44">
        <v>13555123</v>
      </c>
      <c r="U5" s="44">
        <v>13453463</v>
      </c>
      <c r="V5" s="44">
        <v>13333981</v>
      </c>
      <c r="W5" s="44">
        <v>12419062</v>
      </c>
      <c r="X5" s="44">
        <v>10241458</v>
      </c>
      <c r="Y5" s="44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  <c r="AJ5" s="7">
        <v>13603740</v>
      </c>
      <c r="AK5" s="7">
        <v>13160347</v>
      </c>
      <c r="AL5" s="7">
        <v>14128620</v>
      </c>
      <c r="AM5" s="7">
        <v>14243968</v>
      </c>
    </row>
    <row r="6" spans="1:39" ht="13" customHeight="1">
      <c r="A6" s="24" t="s">
        <v>312</v>
      </c>
      <c r="B6" s="24" t="s">
        <v>146</v>
      </c>
      <c r="C6" s="44">
        <v>154229</v>
      </c>
      <c r="D6" s="44">
        <v>148347</v>
      </c>
      <c r="E6" s="44">
        <v>136421</v>
      </c>
      <c r="F6" s="44">
        <v>54280</v>
      </c>
      <c r="G6" s="44">
        <v>64252.117758199995</v>
      </c>
      <c r="H6" s="44">
        <v>83652</v>
      </c>
      <c r="I6" s="44">
        <v>270497</v>
      </c>
      <c r="J6" s="44">
        <v>628246</v>
      </c>
      <c r="K6" s="44">
        <f>893242</f>
        <v>893242</v>
      </c>
      <c r="L6" s="44">
        <v>1046922</v>
      </c>
      <c r="M6" s="44">
        <v>1269662</v>
      </c>
      <c r="N6" s="44">
        <v>1615605</v>
      </c>
      <c r="O6" s="44">
        <f>1838750+49609</f>
        <v>1888359</v>
      </c>
      <c r="P6" s="44">
        <v>2156665</v>
      </c>
      <c r="Q6" s="44">
        <v>2269996</v>
      </c>
      <c r="R6" s="44">
        <v>2380331</v>
      </c>
      <c r="S6" s="44">
        <v>2352307</v>
      </c>
      <c r="T6" s="44">
        <v>2549192</v>
      </c>
      <c r="U6" s="44">
        <v>2599935</v>
      </c>
      <c r="V6" s="44">
        <v>2318064</v>
      </c>
      <c r="W6" s="44">
        <v>2191868</v>
      </c>
      <c r="X6" s="44">
        <v>2009829</v>
      </c>
      <c r="Y6" s="44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  <c r="AJ6" s="7">
        <v>1131679</v>
      </c>
      <c r="AK6" s="7">
        <v>1208372</v>
      </c>
      <c r="AL6" s="7">
        <v>1252656</v>
      </c>
      <c r="AM6" s="7">
        <v>1012152</v>
      </c>
    </row>
    <row r="7" spans="1:39" ht="13" customHeight="1">
      <c r="A7" s="24" t="s">
        <v>313</v>
      </c>
      <c r="B7" s="24" t="s">
        <v>147</v>
      </c>
      <c r="C7" s="44">
        <v>0</v>
      </c>
      <c r="D7" s="44">
        <v>0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80888</v>
      </c>
      <c r="N7" s="44">
        <v>81500</v>
      </c>
      <c r="O7" s="44">
        <v>80872</v>
      </c>
      <c r="P7" s="44">
        <v>81476</v>
      </c>
      <c r="Q7" s="44">
        <v>80880</v>
      </c>
      <c r="R7" s="44">
        <v>81484</v>
      </c>
      <c r="S7" s="44">
        <v>80872</v>
      </c>
      <c r="T7" s="44">
        <v>81468</v>
      </c>
      <c r="U7" s="44">
        <v>80888</v>
      </c>
      <c r="V7" s="44">
        <v>81492</v>
      </c>
      <c r="W7" s="44">
        <v>80880</v>
      </c>
      <c r="X7" s="44">
        <v>81476</v>
      </c>
      <c r="Y7" s="44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</row>
    <row r="8" spans="1:39" ht="13" customHeight="1">
      <c r="A8" s="24" t="s">
        <v>175</v>
      </c>
      <c r="B8" s="24" t="s">
        <v>29</v>
      </c>
      <c r="C8" s="44">
        <v>260132</v>
      </c>
      <c r="D8" s="44">
        <v>183014</v>
      </c>
      <c r="E8" s="44">
        <v>181203</v>
      </c>
      <c r="F8" s="44">
        <v>203506</v>
      </c>
      <c r="G8" s="44">
        <v>206378.96128259998</v>
      </c>
      <c r="H8" s="44">
        <v>221799</v>
      </c>
      <c r="I8" s="44">
        <v>188383</v>
      </c>
      <c r="J8" s="44">
        <v>233373</v>
      </c>
      <c r="K8" s="44">
        <v>214296</v>
      </c>
      <c r="L8" s="44">
        <v>153118</v>
      </c>
      <c r="M8" s="44">
        <v>161065</v>
      </c>
      <c r="N8" s="44">
        <v>155762</v>
      </c>
      <c r="O8" s="44">
        <v>178997</v>
      </c>
      <c r="P8" s="44">
        <v>193646</v>
      </c>
      <c r="Q8" s="44">
        <v>176466</v>
      </c>
      <c r="R8" s="44">
        <v>158989</v>
      </c>
      <c r="S8" s="44">
        <v>191019</v>
      </c>
      <c r="T8" s="44">
        <v>183990</v>
      </c>
      <c r="U8" s="44">
        <v>180224</v>
      </c>
      <c r="V8" s="44">
        <v>169342</v>
      </c>
      <c r="W8" s="44">
        <v>167469</v>
      </c>
      <c r="X8" s="44">
        <v>199773</v>
      </c>
      <c r="Y8" s="44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  <c r="AJ8" s="7">
        <v>277884</v>
      </c>
      <c r="AK8" s="7">
        <v>262688</v>
      </c>
      <c r="AL8" s="7">
        <v>263027</v>
      </c>
      <c r="AM8" s="7">
        <v>286210</v>
      </c>
    </row>
    <row r="9" spans="1:39" ht="13" customHeight="1">
      <c r="A9" s="22" t="s">
        <v>304</v>
      </c>
      <c r="B9" s="22" t="s">
        <v>138</v>
      </c>
      <c r="C9" s="43">
        <f t="shared" ref="C9:S9" si="7">SUM(C10:C14)</f>
        <v>9197307</v>
      </c>
      <c r="D9" s="43">
        <f t="shared" si="7"/>
        <v>10816580</v>
      </c>
      <c r="E9" s="43">
        <f t="shared" si="7"/>
        <v>11116769</v>
      </c>
      <c r="F9" s="43">
        <f t="shared" si="7"/>
        <v>12254467</v>
      </c>
      <c r="G9" s="43">
        <f t="shared" si="7"/>
        <v>12508856.6716509</v>
      </c>
      <c r="H9" s="43">
        <f t="shared" si="7"/>
        <v>13432244</v>
      </c>
      <c r="I9" s="43">
        <f t="shared" si="7"/>
        <v>13505895</v>
      </c>
      <c r="J9" s="43">
        <f t="shared" si="7"/>
        <v>19333312</v>
      </c>
      <c r="K9" s="43">
        <f>SUM(K10:K14)</f>
        <v>18324394</v>
      </c>
      <c r="L9" s="43">
        <f t="shared" si="7"/>
        <v>19903194</v>
      </c>
      <c r="M9" s="43">
        <f t="shared" si="7"/>
        <v>21128825</v>
      </c>
      <c r="N9" s="43">
        <f t="shared" si="7"/>
        <v>21084743</v>
      </c>
      <c r="O9" s="43">
        <f t="shared" si="7"/>
        <v>20870735</v>
      </c>
      <c r="P9" s="43">
        <f t="shared" si="7"/>
        <v>20379496</v>
      </c>
      <c r="Q9" s="43">
        <f t="shared" si="7"/>
        <v>19156394</v>
      </c>
      <c r="R9" s="43">
        <f t="shared" si="7"/>
        <v>18490711</v>
      </c>
      <c r="S9" s="43">
        <f t="shared" si="7"/>
        <v>17201884</v>
      </c>
      <c r="T9" s="43">
        <f t="shared" ref="T9:Y9" si="8">SUM(T10:T14)</f>
        <v>19464288</v>
      </c>
      <c r="U9" s="43">
        <f t="shared" si="8"/>
        <v>18097732</v>
      </c>
      <c r="V9" s="43">
        <f t="shared" si="8"/>
        <v>18396193</v>
      </c>
      <c r="W9" s="43">
        <f t="shared" si="8"/>
        <v>17334157</v>
      </c>
      <c r="X9" s="43">
        <f t="shared" si="8"/>
        <v>19414341</v>
      </c>
      <c r="Y9" s="43">
        <f t="shared" si="8"/>
        <v>20267657</v>
      </c>
      <c r="Z9" s="67">
        <f t="shared" ref="Z9:AE9" si="9">SUM(Z10:Z14)</f>
        <v>21173708</v>
      </c>
      <c r="AA9" s="67">
        <f t="shared" si="9"/>
        <v>21718698</v>
      </c>
      <c r="AB9" s="67">
        <f t="shared" si="9"/>
        <v>21382046</v>
      </c>
      <c r="AC9" s="67">
        <f t="shared" si="9"/>
        <v>20737231</v>
      </c>
      <c r="AD9" s="67">
        <f t="shared" si="9"/>
        <v>22985437</v>
      </c>
      <c r="AE9" s="67">
        <f t="shared" si="9"/>
        <v>21444965</v>
      </c>
      <c r="AF9" s="67">
        <f t="shared" ref="AF9:AG9" si="10">SUM(AF10:AF14)</f>
        <v>21150210</v>
      </c>
      <c r="AG9" s="67">
        <f t="shared" si="10"/>
        <v>20629784</v>
      </c>
      <c r="AH9" s="67">
        <f t="shared" ref="AH9:AI9" si="11">SUM(AH10:AH14)</f>
        <v>19705620</v>
      </c>
      <c r="AI9" s="67">
        <f t="shared" si="11"/>
        <v>21459023</v>
      </c>
      <c r="AJ9" s="67">
        <f t="shared" ref="AJ9:AL9" si="12">SUM(AJ10:AJ14)</f>
        <v>21362276</v>
      </c>
      <c r="AK9" s="67">
        <f t="shared" si="12"/>
        <v>22232215</v>
      </c>
      <c r="AL9" s="67">
        <f t="shared" si="12"/>
        <v>23258031</v>
      </c>
      <c r="AM9" s="67">
        <f t="shared" ref="AM9" si="13">SUM(AM10:AM14)</f>
        <v>24112139</v>
      </c>
    </row>
    <row r="10" spans="1:39" ht="13" customHeight="1">
      <c r="A10" s="24" t="s">
        <v>310</v>
      </c>
      <c r="B10" s="24" t="s">
        <v>144</v>
      </c>
      <c r="C10" s="44">
        <v>2963162</v>
      </c>
      <c r="D10" s="44">
        <v>3257779</v>
      </c>
      <c r="E10" s="44">
        <v>3471940</v>
      </c>
      <c r="F10" s="44">
        <v>3991011</v>
      </c>
      <c r="G10" s="44">
        <v>3689574.0824199999</v>
      </c>
      <c r="H10" s="44">
        <v>4056452</v>
      </c>
      <c r="I10" s="44">
        <v>4442094</v>
      </c>
      <c r="J10" s="44">
        <v>8526252</v>
      </c>
      <c r="K10" s="44">
        <v>8250297</v>
      </c>
      <c r="L10" s="44">
        <v>8368459</v>
      </c>
      <c r="M10" s="44">
        <v>8489445</v>
      </c>
      <c r="N10" s="44">
        <v>9495558</v>
      </c>
      <c r="O10" s="44">
        <v>8591274</v>
      </c>
      <c r="P10" s="44">
        <v>8862256</v>
      </c>
      <c r="Q10" s="44">
        <v>9196028</v>
      </c>
      <c r="R10" s="44">
        <v>10130389</v>
      </c>
      <c r="S10" s="44">
        <v>9136707</v>
      </c>
      <c r="T10" s="44">
        <v>9886026</v>
      </c>
      <c r="U10" s="44">
        <v>9795180</v>
      </c>
      <c r="V10" s="44">
        <v>11153883</v>
      </c>
      <c r="W10" s="44">
        <v>11080166</v>
      </c>
      <c r="X10" s="44">
        <v>14248987</v>
      </c>
      <c r="Y10" s="44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  <c r="AJ10" s="7">
        <v>13091184</v>
      </c>
      <c r="AK10" s="7">
        <v>13558028</v>
      </c>
      <c r="AL10" s="7">
        <v>14223309</v>
      </c>
      <c r="AM10" s="7">
        <v>13418644</v>
      </c>
    </row>
    <row r="11" spans="1:39" ht="13" customHeight="1">
      <c r="A11" s="24" t="s">
        <v>311</v>
      </c>
      <c r="B11" s="24" t="s">
        <v>145</v>
      </c>
      <c r="C11" s="44">
        <v>4400797</v>
      </c>
      <c r="D11" s="44">
        <v>5372612</v>
      </c>
      <c r="E11" s="44">
        <v>5310082</v>
      </c>
      <c r="F11" s="44">
        <v>5869683</v>
      </c>
      <c r="G11" s="44">
        <v>6363671.3399107</v>
      </c>
      <c r="H11" s="44">
        <v>6975188</v>
      </c>
      <c r="I11" s="44">
        <v>6657716</v>
      </c>
      <c r="J11" s="44">
        <v>8379289</v>
      </c>
      <c r="K11" s="44">
        <v>7894824</v>
      </c>
      <c r="L11" s="44">
        <v>9612896</v>
      </c>
      <c r="M11" s="44">
        <v>10539333</v>
      </c>
      <c r="N11" s="44">
        <v>9740352</v>
      </c>
      <c r="O11" s="44">
        <v>10689313</v>
      </c>
      <c r="P11" s="44">
        <v>10172248</v>
      </c>
      <c r="Q11" s="44">
        <v>8914238</v>
      </c>
      <c r="R11" s="44">
        <v>7489126</v>
      </c>
      <c r="S11" s="44">
        <v>7326379</v>
      </c>
      <c r="T11" s="44">
        <v>9041361</v>
      </c>
      <c r="U11" s="44">
        <v>7890368</v>
      </c>
      <c r="V11" s="44">
        <v>6854745</v>
      </c>
      <c r="W11" s="44">
        <v>5815928</v>
      </c>
      <c r="X11" s="44">
        <v>4692396</v>
      </c>
      <c r="Y11" s="44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  <c r="AJ11" s="7">
        <v>7578904</v>
      </c>
      <c r="AK11" s="7">
        <v>7973075</v>
      </c>
      <c r="AL11" s="7">
        <v>7900964</v>
      </c>
      <c r="AM11" s="7">
        <v>9536705</v>
      </c>
    </row>
    <row r="12" spans="1:39" ht="13" customHeight="1">
      <c r="A12" s="24" t="s">
        <v>312</v>
      </c>
      <c r="B12" s="24" t="s">
        <v>146</v>
      </c>
      <c r="C12" s="44">
        <v>1704367</v>
      </c>
      <c r="D12" s="44">
        <v>2031085</v>
      </c>
      <c r="E12" s="44">
        <v>2134494</v>
      </c>
      <c r="F12" s="44">
        <v>2204950</v>
      </c>
      <c r="G12" s="44">
        <v>2284479.2493202002</v>
      </c>
      <c r="H12" s="44">
        <v>2254446</v>
      </c>
      <c r="I12" s="44">
        <v>2295059</v>
      </c>
      <c r="J12" s="44">
        <v>1910380</v>
      </c>
      <c r="K12" s="44">
        <f>1907874+23658-231748</f>
        <v>1699784</v>
      </c>
      <c r="L12" s="44">
        <f>1651242+32046</f>
        <v>1683288</v>
      </c>
      <c r="M12" s="44">
        <f>1641930+38987</f>
        <v>1680917</v>
      </c>
      <c r="N12" s="44">
        <v>1455323</v>
      </c>
      <c r="O12" s="44">
        <f>1200814+1271</f>
        <v>1202085</v>
      </c>
      <c r="P12" s="44">
        <v>876672</v>
      </c>
      <c r="Q12" s="44">
        <v>637058</v>
      </c>
      <c r="R12" s="44">
        <v>429148</v>
      </c>
      <c r="S12" s="44">
        <v>284089</v>
      </c>
      <c r="T12" s="44">
        <v>82543</v>
      </c>
      <c r="U12" s="44">
        <v>36026</v>
      </c>
      <c r="V12" s="44">
        <v>17773</v>
      </c>
      <c r="W12" s="44">
        <v>10312</v>
      </c>
      <c r="X12" s="44">
        <v>10239</v>
      </c>
      <c r="Y12" s="44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  <c r="AJ12" s="7">
        <v>4646</v>
      </c>
      <c r="AK12" s="7">
        <v>4973</v>
      </c>
      <c r="AL12" s="7">
        <v>4665</v>
      </c>
      <c r="AM12" s="7">
        <v>5063</v>
      </c>
    </row>
    <row r="13" spans="1:39" ht="13" customHeight="1">
      <c r="A13" s="24" t="s">
        <v>313</v>
      </c>
      <c r="B13" s="24" t="s">
        <v>147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230046</v>
      </c>
      <c r="K13" s="44">
        <v>231748</v>
      </c>
      <c r="L13" s="44">
        <v>0</v>
      </c>
      <c r="M13" s="44">
        <v>147567</v>
      </c>
      <c r="N13" s="44">
        <v>148684</v>
      </c>
      <c r="O13" s="44">
        <v>147538</v>
      </c>
      <c r="P13" s="44">
        <v>148640</v>
      </c>
      <c r="Q13" s="44">
        <v>147553</v>
      </c>
      <c r="R13" s="44">
        <v>163883</v>
      </c>
      <c r="S13" s="44">
        <v>162847</v>
      </c>
      <c r="T13" s="44">
        <v>164016</v>
      </c>
      <c r="U13" s="44">
        <v>147567</v>
      </c>
      <c r="V13" s="44">
        <v>148669</v>
      </c>
      <c r="W13" s="44">
        <v>147553</v>
      </c>
      <c r="X13" s="44">
        <v>148640</v>
      </c>
      <c r="Y13" s="44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400551</v>
      </c>
      <c r="AK13" s="7">
        <v>410683</v>
      </c>
      <c r="AL13" s="7">
        <v>851858</v>
      </c>
      <c r="AM13" s="7">
        <v>870416</v>
      </c>
    </row>
    <row r="14" spans="1:39" ht="13" customHeight="1">
      <c r="A14" s="24" t="s">
        <v>175</v>
      </c>
      <c r="B14" s="24" t="s">
        <v>29</v>
      </c>
      <c r="C14" s="44">
        <v>128981</v>
      </c>
      <c r="D14" s="44">
        <v>155104</v>
      </c>
      <c r="E14" s="44">
        <v>200253</v>
      </c>
      <c r="F14" s="44">
        <v>188823</v>
      </c>
      <c r="G14" s="44">
        <v>171132</v>
      </c>
      <c r="H14" s="44">
        <v>146158</v>
      </c>
      <c r="I14" s="44">
        <v>111026</v>
      </c>
      <c r="J14" s="44">
        <v>287345</v>
      </c>
      <c r="K14" s="44">
        <v>247741</v>
      </c>
      <c r="L14" s="44">
        <v>238551</v>
      </c>
      <c r="M14" s="44">
        <v>271563</v>
      </c>
      <c r="N14" s="44">
        <v>244826</v>
      </c>
      <c r="O14" s="44">
        <v>240525</v>
      </c>
      <c r="P14" s="44">
        <v>319680</v>
      </c>
      <c r="Q14" s="44">
        <v>261517</v>
      </c>
      <c r="R14" s="44">
        <v>278165</v>
      </c>
      <c r="S14" s="44">
        <v>291862</v>
      </c>
      <c r="T14" s="44">
        <v>290342</v>
      </c>
      <c r="U14" s="44">
        <v>228591</v>
      </c>
      <c r="V14" s="44">
        <v>221123</v>
      </c>
      <c r="W14" s="44">
        <v>280198</v>
      </c>
      <c r="X14" s="44">
        <v>314079</v>
      </c>
      <c r="Y14" s="44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  <c r="AJ14" s="7">
        <v>286991</v>
      </c>
      <c r="AK14" s="7">
        <v>285456</v>
      </c>
      <c r="AL14" s="7">
        <v>277235</v>
      </c>
      <c r="AM14" s="7">
        <v>281311</v>
      </c>
    </row>
    <row r="15" spans="1:39" ht="13" customHeight="1">
      <c r="A15" s="45" t="s">
        <v>314</v>
      </c>
      <c r="B15" s="45" t="s">
        <v>148</v>
      </c>
      <c r="C15" s="46">
        <f t="shared" ref="C15:R15" si="14">C3+C9</f>
        <v>27799851</v>
      </c>
      <c r="D15" s="46">
        <f t="shared" si="14"/>
        <v>29774617</v>
      </c>
      <c r="E15" s="46">
        <f t="shared" si="14"/>
        <v>31430616</v>
      </c>
      <c r="F15" s="46">
        <f t="shared" si="14"/>
        <v>33663542</v>
      </c>
      <c r="G15" s="46">
        <f t="shared" si="14"/>
        <v>35802240.89800451</v>
      </c>
      <c r="H15" s="46">
        <f t="shared" si="14"/>
        <v>37989929</v>
      </c>
      <c r="I15" s="46">
        <f t="shared" si="14"/>
        <v>37432228</v>
      </c>
      <c r="J15" s="46">
        <f t="shared" si="14"/>
        <v>51368701</v>
      </c>
      <c r="K15" s="46">
        <f t="shared" si="14"/>
        <v>50540552</v>
      </c>
      <c r="L15" s="46">
        <f t="shared" si="14"/>
        <v>51720570</v>
      </c>
      <c r="M15" s="46">
        <f t="shared" si="14"/>
        <v>54770517</v>
      </c>
      <c r="N15" s="46">
        <f t="shared" si="14"/>
        <v>57657019</v>
      </c>
      <c r="O15" s="46">
        <f t="shared" si="14"/>
        <v>59074569</v>
      </c>
      <c r="P15" s="46">
        <f t="shared" si="14"/>
        <v>59645174</v>
      </c>
      <c r="Q15" s="46">
        <f t="shared" si="14"/>
        <v>60098796</v>
      </c>
      <c r="R15" s="46">
        <f t="shared" si="14"/>
        <v>62435585</v>
      </c>
      <c r="S15" s="46">
        <f t="shared" ref="S15:Z15" si="15">S3+S9</f>
        <v>62326563</v>
      </c>
      <c r="T15" s="46">
        <f t="shared" si="15"/>
        <v>64885845</v>
      </c>
      <c r="U15" s="46">
        <f t="shared" si="15"/>
        <v>64739421</v>
      </c>
      <c r="V15" s="46">
        <f t="shared" si="15"/>
        <v>64999259</v>
      </c>
      <c r="W15" s="46">
        <f t="shared" si="15"/>
        <v>64596016</v>
      </c>
      <c r="X15" s="46">
        <f t="shared" si="15"/>
        <v>65865441</v>
      </c>
      <c r="Y15" s="46">
        <f t="shared" si="15"/>
        <v>65868133</v>
      </c>
      <c r="Z15" s="68">
        <f t="shared" si="15"/>
        <v>66875907</v>
      </c>
      <c r="AA15" s="68">
        <f t="shared" ref="AA15:AF15" si="16">AA3+AA9</f>
        <v>68621716</v>
      </c>
      <c r="AB15" s="68">
        <f t="shared" si="16"/>
        <v>67832836</v>
      </c>
      <c r="AC15" s="68">
        <f t="shared" si="16"/>
        <v>66953853</v>
      </c>
      <c r="AD15" s="68">
        <f t="shared" si="16"/>
        <v>72005715</v>
      </c>
      <c r="AE15" s="68">
        <f t="shared" si="16"/>
        <v>70779749</v>
      </c>
      <c r="AF15" s="68">
        <f t="shared" si="16"/>
        <v>70741117</v>
      </c>
      <c r="AG15" s="68">
        <f t="shared" ref="AG15:AH15" si="17">AG3+AG9</f>
        <v>72363011</v>
      </c>
      <c r="AH15" s="68">
        <f t="shared" si="17"/>
        <v>70776809</v>
      </c>
      <c r="AI15" s="68">
        <f t="shared" ref="AI15:AJ15" si="18">AI3+AI9</f>
        <v>71856210</v>
      </c>
      <c r="AJ15" s="68">
        <f t="shared" si="18"/>
        <v>70706437</v>
      </c>
      <c r="AK15" s="68">
        <f t="shared" ref="AK15:AL15" si="19">AK3+AK9</f>
        <v>72867552</v>
      </c>
      <c r="AL15" s="68">
        <f t="shared" si="19"/>
        <v>75187251</v>
      </c>
      <c r="AM15" s="68">
        <f t="shared" ref="AM15" si="20">AM3+AM9</f>
        <v>76834304</v>
      </c>
    </row>
  </sheetData>
  <phoneticPr fontId="3" type="noConversion"/>
  <dataValidations count="1">
    <dataValidation allowBlank="1" showInputMessage="1" showErrorMessage="1" sqref="G4:G6 C4:C6 AJ16:AK20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O21"/>
  <sheetViews>
    <sheetView zoomScaleNormal="100" workbookViewId="0">
      <pane xSplit="2" ySplit="2" topLeftCell="AI3" activePane="bottomRight" state="frozen"/>
      <selection sqref="A1:B1048576"/>
      <selection pane="topRight" sqref="A1:B1048576"/>
      <selection pane="bottomLeft" sqref="A1:B1048576"/>
      <selection pane="bottomRight" activeCell="AO10" sqref="AO10"/>
    </sheetView>
  </sheetViews>
  <sheetFormatPr defaultColWidth="8.6640625" defaultRowHeight="11.5"/>
  <cols>
    <col min="1" max="2" width="50.6640625" style="2" customWidth="1"/>
    <col min="3" max="39" width="10.6640625" style="2" customWidth="1"/>
    <col min="40" max="16384" width="8.6640625" style="2"/>
  </cols>
  <sheetData>
    <row r="1" spans="1:41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643</v>
      </c>
      <c r="E1" s="1" t="s">
        <v>644</v>
      </c>
      <c r="F1" s="1" t="s">
        <v>645</v>
      </c>
      <c r="G1" s="1" t="s">
        <v>410</v>
      </c>
      <c r="H1" s="1" t="s">
        <v>649</v>
      </c>
      <c r="I1" s="1" t="s">
        <v>650</v>
      </c>
      <c r="J1" s="1" t="s">
        <v>651</v>
      </c>
      <c r="K1" s="1" t="s">
        <v>414</v>
      </c>
      <c r="L1" s="1" t="s">
        <v>655</v>
      </c>
      <c r="M1" s="1" t="s">
        <v>656</v>
      </c>
      <c r="N1" s="1" t="s">
        <v>657</v>
      </c>
      <c r="O1" s="1" t="s">
        <v>418</v>
      </c>
      <c r="P1" s="1" t="s">
        <v>465</v>
      </c>
      <c r="Q1" s="1" t="s">
        <v>467</v>
      </c>
      <c r="R1" s="1" t="s">
        <v>469</v>
      </c>
      <c r="S1" s="1" t="s">
        <v>422</v>
      </c>
      <c r="T1" s="1" t="s">
        <v>471</v>
      </c>
      <c r="U1" s="1" t="s">
        <v>473</v>
      </c>
      <c r="V1" s="1" t="s">
        <v>475</v>
      </c>
      <c r="W1" s="1" t="s">
        <v>426</v>
      </c>
      <c r="X1" s="1" t="s">
        <v>477</v>
      </c>
      <c r="Y1" s="1" t="s">
        <v>479</v>
      </c>
      <c r="Z1" s="1" t="s">
        <v>481</v>
      </c>
      <c r="AA1" s="1" t="s">
        <v>430</v>
      </c>
      <c r="AB1" s="1" t="s">
        <v>483</v>
      </c>
      <c r="AC1" s="1" t="s">
        <v>485</v>
      </c>
      <c r="AD1" s="1" t="s">
        <v>487</v>
      </c>
      <c r="AE1" s="1" t="s">
        <v>491</v>
      </c>
      <c r="AF1" s="1" t="s">
        <v>495</v>
      </c>
      <c r="AG1" s="1" t="s">
        <v>524</v>
      </c>
      <c r="AH1" s="1" t="s">
        <v>663</v>
      </c>
      <c r="AI1" s="1" t="s">
        <v>671</v>
      </c>
      <c r="AJ1" s="1" t="s">
        <v>679</v>
      </c>
      <c r="AK1" s="1" t="s">
        <v>681</v>
      </c>
      <c r="AL1" s="1" t="s">
        <v>687</v>
      </c>
      <c r="AM1" s="1" t="s">
        <v>695</v>
      </c>
    </row>
    <row r="2" spans="1:41" ht="13" customHeight="1" thickBot="1">
      <c r="A2" s="87" t="s">
        <v>619</v>
      </c>
      <c r="B2" s="87" t="s">
        <v>632</v>
      </c>
      <c r="C2" s="1" t="s">
        <v>433</v>
      </c>
      <c r="D2" s="1" t="s">
        <v>646</v>
      </c>
      <c r="E2" s="1" t="s">
        <v>647</v>
      </c>
      <c r="F2" s="1" t="s">
        <v>648</v>
      </c>
      <c r="G2" s="1" t="s">
        <v>437</v>
      </c>
      <c r="H2" s="1" t="s">
        <v>652</v>
      </c>
      <c r="I2" s="1" t="s">
        <v>653</v>
      </c>
      <c r="J2" s="1" t="s">
        <v>654</v>
      </c>
      <c r="K2" s="1" t="s">
        <v>441</v>
      </c>
      <c r="L2" s="1" t="s">
        <v>658</v>
      </c>
      <c r="M2" s="1" t="s">
        <v>659</v>
      </c>
      <c r="N2" s="1" t="s">
        <v>660</v>
      </c>
      <c r="O2" s="1" t="s">
        <v>445</v>
      </c>
      <c r="P2" s="1" t="s">
        <v>466</v>
      </c>
      <c r="Q2" s="1" t="s">
        <v>468</v>
      </c>
      <c r="R2" s="1" t="s">
        <v>470</v>
      </c>
      <c r="S2" s="1" t="s">
        <v>449</v>
      </c>
      <c r="T2" s="1" t="s">
        <v>472</v>
      </c>
      <c r="U2" s="1" t="s">
        <v>474</v>
      </c>
      <c r="V2" s="1" t="s">
        <v>476</v>
      </c>
      <c r="W2" s="1" t="s">
        <v>453</v>
      </c>
      <c r="X2" s="1" t="s">
        <v>478</v>
      </c>
      <c r="Y2" s="1" t="s">
        <v>480</v>
      </c>
      <c r="Z2" s="1" t="s">
        <v>482</v>
      </c>
      <c r="AA2" s="1" t="s">
        <v>457</v>
      </c>
      <c r="AB2" s="1" t="s">
        <v>484</v>
      </c>
      <c r="AC2" s="1" t="s">
        <v>486</v>
      </c>
      <c r="AD2" s="1" t="s">
        <v>488</v>
      </c>
      <c r="AE2" s="1" t="s">
        <v>492</v>
      </c>
      <c r="AF2" s="1" t="s">
        <v>496</v>
      </c>
      <c r="AG2" s="1" t="s">
        <v>525</v>
      </c>
      <c r="AH2" s="1" t="s">
        <v>664</v>
      </c>
      <c r="AI2" s="1" t="s">
        <v>672</v>
      </c>
      <c r="AJ2" s="1" t="s">
        <v>680</v>
      </c>
      <c r="AK2" s="1" t="s">
        <v>682</v>
      </c>
      <c r="AL2" s="1" t="s">
        <v>688</v>
      </c>
      <c r="AM2" s="1" t="s">
        <v>696</v>
      </c>
    </row>
    <row r="3" spans="1:41" s="31" customFormat="1" ht="13" customHeight="1">
      <c r="A3" s="88" t="s">
        <v>212</v>
      </c>
      <c r="B3" s="88" t="s">
        <v>606</v>
      </c>
      <c r="C3" s="89">
        <v>117226</v>
      </c>
      <c r="D3" s="89">
        <v>220199</v>
      </c>
      <c r="E3" s="89">
        <v>335099</v>
      </c>
      <c r="F3" s="89">
        <v>386008</v>
      </c>
      <c r="G3" s="89">
        <v>106261</v>
      </c>
      <c r="H3" s="89">
        <v>217064</v>
      </c>
      <c r="I3" s="89">
        <v>334651</v>
      </c>
      <c r="J3" s="89">
        <v>648363</v>
      </c>
      <c r="K3" s="89">
        <v>177527</v>
      </c>
      <c r="L3" s="89">
        <v>224936</v>
      </c>
      <c r="M3" s="89">
        <v>481785</v>
      </c>
      <c r="N3" s="89">
        <v>689121</v>
      </c>
      <c r="O3" s="89">
        <v>213988</v>
      </c>
      <c r="P3" s="89">
        <v>495455</v>
      </c>
      <c r="Q3" s="89">
        <v>743015</v>
      </c>
      <c r="R3" s="89">
        <v>988291</v>
      </c>
      <c r="S3" s="89">
        <v>184910</v>
      </c>
      <c r="T3" s="89">
        <v>236557</v>
      </c>
      <c r="U3" s="89">
        <v>435828</v>
      </c>
      <c r="V3" s="89">
        <v>489671</v>
      </c>
      <c r="W3" s="89">
        <v>119635</v>
      </c>
      <c r="X3" s="89">
        <v>-524979</v>
      </c>
      <c r="Y3" s="89">
        <v>-386583</v>
      </c>
      <c r="Z3" s="89">
        <v>-206450</v>
      </c>
      <c r="AA3" s="89">
        <v>170844</v>
      </c>
      <c r="AB3" s="89">
        <v>360170</v>
      </c>
      <c r="AC3" s="89">
        <v>573465</v>
      </c>
      <c r="AD3" s="89">
        <v>779211</v>
      </c>
      <c r="AE3" s="89">
        <v>273384</v>
      </c>
      <c r="AF3" s="89">
        <v>575265</v>
      </c>
      <c r="AG3" s="143">
        <v>539564</v>
      </c>
      <c r="AH3" s="143">
        <v>1036024</v>
      </c>
      <c r="AI3" s="89">
        <v>508875</v>
      </c>
      <c r="AJ3" s="89">
        <v>1186370</v>
      </c>
      <c r="AK3" s="89">
        <v>1926712</v>
      </c>
      <c r="AL3" s="143">
        <v>2707055</v>
      </c>
      <c r="AM3" s="89">
        <v>768758</v>
      </c>
      <c r="AO3" s="29"/>
    </row>
    <row r="4" spans="1:41" ht="13" customHeight="1">
      <c r="A4" s="90" t="s">
        <v>620</v>
      </c>
      <c r="B4" s="90" t="s">
        <v>607</v>
      </c>
      <c r="C4" s="42">
        <v>22273</v>
      </c>
      <c r="D4" s="42">
        <v>41839</v>
      </c>
      <c r="E4" s="42">
        <v>63669</v>
      </c>
      <c r="F4" s="42">
        <v>73342</v>
      </c>
      <c r="G4" s="42">
        <v>20190</v>
      </c>
      <c r="H4" s="42">
        <v>41241</v>
      </c>
      <c r="I4" s="42">
        <v>63585</v>
      </c>
      <c r="J4" s="42">
        <v>123189</v>
      </c>
      <c r="K4" s="42">
        <v>22331</v>
      </c>
      <c r="L4" s="42">
        <v>42738</v>
      </c>
      <c r="M4" s="42">
        <v>91539</v>
      </c>
      <c r="N4" s="42">
        <v>130933</v>
      </c>
      <c r="O4" s="42">
        <v>40658</v>
      </c>
      <c r="P4" s="42">
        <v>94136</v>
      </c>
      <c r="Q4" s="42">
        <v>141173</v>
      </c>
      <c r="R4" s="42">
        <v>187775</v>
      </c>
      <c r="S4" s="42">
        <v>35133</v>
      </c>
      <c r="T4" s="42">
        <v>44946</v>
      </c>
      <c r="U4" s="42">
        <v>82807</v>
      </c>
      <c r="V4" s="42">
        <v>93037.49</v>
      </c>
      <c r="W4" s="42">
        <v>22730.65</v>
      </c>
      <c r="X4" s="42">
        <v>-99746.01</v>
      </c>
      <c r="Y4" s="42">
        <v>-73450.77</v>
      </c>
      <c r="Z4" s="42">
        <v>-39226</v>
      </c>
      <c r="AA4" s="42">
        <v>32460</v>
      </c>
      <c r="AB4" s="42">
        <v>68432</v>
      </c>
      <c r="AC4" s="42">
        <v>108958</v>
      </c>
      <c r="AD4" s="42">
        <v>148050</v>
      </c>
      <c r="AE4" s="42">
        <v>51943</v>
      </c>
      <c r="AF4" s="42">
        <v>109300</v>
      </c>
      <c r="AG4" s="144">
        <v>102517</v>
      </c>
      <c r="AH4" s="144">
        <v>196845</v>
      </c>
      <c r="AI4" s="42">
        <v>96686</v>
      </c>
      <c r="AJ4" s="42">
        <v>225410.3</v>
      </c>
      <c r="AK4" s="42">
        <v>366075.28</v>
      </c>
      <c r="AL4" s="144">
        <v>514340</v>
      </c>
      <c r="AM4" s="42">
        <v>146064</v>
      </c>
    </row>
    <row r="5" spans="1:41" ht="13" customHeight="1">
      <c r="A5" s="88" t="s">
        <v>621</v>
      </c>
      <c r="B5" s="88" t="s">
        <v>608</v>
      </c>
      <c r="C5" s="143">
        <f t="shared" ref="C5:D5" si="0">SUM(C6:C14)</f>
        <v>4289</v>
      </c>
      <c r="D5" s="143">
        <f t="shared" si="0"/>
        <v>7242</v>
      </c>
      <c r="E5" s="143">
        <f t="shared" ref="E5" si="1">SUM(E6:E14)</f>
        <v>12154</v>
      </c>
      <c r="F5" s="143">
        <f t="shared" ref="F5" si="2">SUM(F6:F14)</f>
        <v>14371</v>
      </c>
      <c r="G5" s="143">
        <v>5889</v>
      </c>
      <c r="H5" s="143">
        <f t="shared" ref="H5" si="3">SUM(H6:H14)</f>
        <v>15271</v>
      </c>
      <c r="I5" s="143">
        <f t="shared" ref="I5" si="4">SUM(I6:I14)</f>
        <v>22810</v>
      </c>
      <c r="J5" s="143">
        <f t="shared" ref="J5" si="5">SUM(J6:J14)</f>
        <v>62807</v>
      </c>
      <c r="K5" s="143">
        <f t="shared" ref="K5" si="6">SUM(K6:K14)</f>
        <v>14810</v>
      </c>
      <c r="L5" s="143">
        <f t="shared" ref="L5" si="7">SUM(L6:L14)</f>
        <v>32767</v>
      </c>
      <c r="M5" s="143">
        <f t="shared" ref="M5" si="8">SUM(M6:M14)</f>
        <v>49524</v>
      </c>
      <c r="N5" s="143">
        <f t="shared" ref="N5:O5" si="9">SUM(N6:N14)</f>
        <v>78408</v>
      </c>
      <c r="O5" s="143">
        <f t="shared" si="9"/>
        <v>27746</v>
      </c>
      <c r="P5" s="143">
        <f t="shared" ref="P5" si="10">SUM(P6:P14)</f>
        <v>49318</v>
      </c>
      <c r="Q5" s="143">
        <f t="shared" ref="Q5" si="11">SUM(Q6:Q14)</f>
        <v>76602</v>
      </c>
      <c r="R5" s="143">
        <f t="shared" ref="R5" si="12">SUM(R6:R14)</f>
        <v>93012</v>
      </c>
      <c r="S5" s="143">
        <f t="shared" ref="S5" si="13">SUM(S6:S14)</f>
        <v>45830</v>
      </c>
      <c r="T5" s="143">
        <f t="shared" ref="T5:AI5" si="14">SUM(T6:T14)</f>
        <v>98568</v>
      </c>
      <c r="U5" s="143">
        <f t="shared" si="14"/>
        <v>118486</v>
      </c>
      <c r="V5" s="143">
        <f t="shared" si="14"/>
        <v>150682</v>
      </c>
      <c r="W5" s="143">
        <f t="shared" si="14"/>
        <v>31038</v>
      </c>
      <c r="X5" s="143">
        <f t="shared" si="14"/>
        <v>94897</v>
      </c>
      <c r="Y5" s="143">
        <f t="shared" si="14"/>
        <v>112426</v>
      </c>
      <c r="Z5" s="143">
        <f t="shared" si="14"/>
        <v>150742</v>
      </c>
      <c r="AA5" s="143">
        <f t="shared" si="14"/>
        <v>31927</v>
      </c>
      <c r="AB5" s="143">
        <f t="shared" si="14"/>
        <v>60807</v>
      </c>
      <c r="AC5" s="143">
        <f t="shared" si="14"/>
        <v>83642</v>
      </c>
      <c r="AD5" s="143">
        <f t="shared" si="14"/>
        <v>125030</v>
      </c>
      <c r="AE5" s="143">
        <f t="shared" si="14"/>
        <v>44128</v>
      </c>
      <c r="AF5" s="143">
        <f t="shared" si="14"/>
        <v>76309</v>
      </c>
      <c r="AG5" s="143">
        <f t="shared" si="14"/>
        <v>109885</v>
      </c>
      <c r="AH5" s="143">
        <f t="shared" si="14"/>
        <v>164375</v>
      </c>
      <c r="AI5" s="143">
        <f t="shared" si="14"/>
        <v>47804</v>
      </c>
      <c r="AJ5" s="143">
        <f t="shared" ref="AJ5:AM5" si="15">SUM(AJ6:AJ14)</f>
        <v>84188</v>
      </c>
      <c r="AK5" s="143">
        <f t="shared" si="15"/>
        <v>111113</v>
      </c>
      <c r="AL5" s="143">
        <f t="shared" si="15"/>
        <v>154301</v>
      </c>
      <c r="AM5" s="143">
        <f t="shared" si="15"/>
        <v>44887</v>
      </c>
    </row>
    <row r="6" spans="1:41" ht="13" customHeight="1">
      <c r="A6" s="90" t="s">
        <v>622</v>
      </c>
      <c r="B6" s="90" t="s">
        <v>609</v>
      </c>
      <c r="C6" s="145">
        <v>44</v>
      </c>
      <c r="D6" s="145">
        <v>77</v>
      </c>
      <c r="E6" s="145">
        <v>89</v>
      </c>
      <c r="F6" s="145">
        <v>152</v>
      </c>
      <c r="G6" s="145">
        <v>49</v>
      </c>
      <c r="H6" s="145">
        <v>85</v>
      </c>
      <c r="I6" s="145">
        <v>105</v>
      </c>
      <c r="J6" s="145">
        <v>228</v>
      </c>
      <c r="K6" s="145">
        <v>40</v>
      </c>
      <c r="L6" s="145">
        <v>174</v>
      </c>
      <c r="M6" s="145">
        <v>318</v>
      </c>
      <c r="N6" s="145">
        <v>570</v>
      </c>
      <c r="O6" s="145">
        <v>75</v>
      </c>
      <c r="P6" s="145">
        <v>101</v>
      </c>
      <c r="Q6" s="145">
        <v>120</v>
      </c>
      <c r="R6" s="145">
        <v>231</v>
      </c>
      <c r="S6" s="145">
        <v>154</v>
      </c>
      <c r="T6" s="145">
        <v>236</v>
      </c>
      <c r="U6" s="145">
        <v>367</v>
      </c>
      <c r="V6" s="145">
        <v>337</v>
      </c>
      <c r="W6" s="145">
        <v>62</v>
      </c>
      <c r="X6" s="145">
        <v>85</v>
      </c>
      <c r="Y6" s="145">
        <v>93</v>
      </c>
      <c r="Z6" s="145">
        <v>174</v>
      </c>
      <c r="AA6" s="145">
        <v>31</v>
      </c>
      <c r="AB6" s="145">
        <v>50</v>
      </c>
      <c r="AC6" s="145">
        <v>75</v>
      </c>
      <c r="AD6" s="145">
        <v>204</v>
      </c>
      <c r="AE6" s="145">
        <v>31</v>
      </c>
      <c r="AF6" s="145">
        <v>78</v>
      </c>
      <c r="AG6" s="138">
        <v>113</v>
      </c>
      <c r="AH6" s="138" t="s">
        <v>97</v>
      </c>
      <c r="AI6" s="138" t="s">
        <v>97</v>
      </c>
      <c r="AJ6" s="138" t="s">
        <v>97</v>
      </c>
      <c r="AK6" s="138" t="s">
        <v>97</v>
      </c>
      <c r="AL6" s="138" t="s">
        <v>97</v>
      </c>
      <c r="AM6" s="138" t="s">
        <v>97</v>
      </c>
    </row>
    <row r="7" spans="1:41" ht="13" customHeight="1">
      <c r="A7" s="90" t="s">
        <v>623</v>
      </c>
      <c r="B7" s="125" t="s">
        <v>642</v>
      </c>
      <c r="C7" s="139">
        <v>220</v>
      </c>
      <c r="D7" s="139">
        <v>532</v>
      </c>
      <c r="E7" s="139">
        <v>3924</v>
      </c>
      <c r="F7" s="139">
        <v>4047</v>
      </c>
      <c r="G7" s="139">
        <v>60</v>
      </c>
      <c r="H7" s="139">
        <v>41</v>
      </c>
      <c r="I7" s="139">
        <v>45</v>
      </c>
      <c r="J7" s="139">
        <v>26617</v>
      </c>
      <c r="K7" s="139">
        <v>1</v>
      </c>
      <c r="L7" s="139">
        <v>2</v>
      </c>
      <c r="M7" s="139">
        <v>2</v>
      </c>
      <c r="N7" s="139">
        <v>20933</v>
      </c>
      <c r="O7" s="139">
        <v>6544</v>
      </c>
      <c r="P7" s="139">
        <v>12583</v>
      </c>
      <c r="Q7" s="139">
        <v>21738</v>
      </c>
      <c r="R7" s="139">
        <v>19289</v>
      </c>
      <c r="S7" s="139">
        <v>10561</v>
      </c>
      <c r="T7" s="139">
        <v>47869</v>
      </c>
      <c r="U7" s="139">
        <v>54251</v>
      </c>
      <c r="V7" s="139">
        <v>68652</v>
      </c>
      <c r="W7" s="139">
        <v>2043</v>
      </c>
      <c r="X7" s="139">
        <v>35607</v>
      </c>
      <c r="Y7" s="139">
        <v>36561</v>
      </c>
      <c r="Z7" s="139">
        <v>49735</v>
      </c>
      <c r="AA7" s="139">
        <v>7517</v>
      </c>
      <c r="AB7" s="139">
        <v>19764</v>
      </c>
      <c r="AC7" s="145">
        <v>22998</v>
      </c>
      <c r="AD7" s="145">
        <v>35995</v>
      </c>
      <c r="AE7" s="145">
        <v>3673</v>
      </c>
      <c r="AF7" s="145">
        <v>19212</v>
      </c>
      <c r="AG7" s="138">
        <v>23692</v>
      </c>
      <c r="AH7" s="138">
        <v>43966</v>
      </c>
      <c r="AI7" s="145">
        <v>17651</v>
      </c>
      <c r="AJ7" s="145">
        <v>30890</v>
      </c>
      <c r="AK7" s="145">
        <v>31986</v>
      </c>
      <c r="AL7" s="138">
        <v>54819</v>
      </c>
      <c r="AM7" s="145">
        <v>20125</v>
      </c>
    </row>
    <row r="8" spans="1:41" ht="13" customHeight="1">
      <c r="A8" s="90" t="s">
        <v>624</v>
      </c>
      <c r="B8" s="90" t="s">
        <v>610</v>
      </c>
      <c r="C8" s="139">
        <v>2340</v>
      </c>
      <c r="D8" s="139">
        <v>2860</v>
      </c>
      <c r="E8" s="139">
        <v>3465</v>
      </c>
      <c r="F8" s="145">
        <v>4071</v>
      </c>
      <c r="G8" s="145">
        <v>1154</v>
      </c>
      <c r="H8" s="145">
        <v>2270</v>
      </c>
      <c r="I8" s="139">
        <v>3435</v>
      </c>
      <c r="J8" s="139">
        <v>4977</v>
      </c>
      <c r="K8" s="139">
        <v>3271</v>
      </c>
      <c r="L8" s="139">
        <v>9980</v>
      </c>
      <c r="M8" s="139">
        <v>12111</v>
      </c>
      <c r="N8" s="145">
        <v>14933</v>
      </c>
      <c r="O8" s="139">
        <v>10388</v>
      </c>
      <c r="P8" s="139">
        <v>13626</v>
      </c>
      <c r="Q8" s="139">
        <v>16874</v>
      </c>
      <c r="R8" s="139">
        <v>20188</v>
      </c>
      <c r="S8" s="139">
        <v>23129</v>
      </c>
      <c r="T8" s="139">
        <v>25332</v>
      </c>
      <c r="U8" s="139">
        <v>27523</v>
      </c>
      <c r="V8" s="139">
        <v>29752</v>
      </c>
      <c r="W8" s="139">
        <v>16834</v>
      </c>
      <c r="X8" s="139">
        <v>21406</v>
      </c>
      <c r="Y8" s="139">
        <v>25913</v>
      </c>
      <c r="Z8" s="139">
        <v>30370</v>
      </c>
      <c r="AA8" s="139">
        <v>11945</v>
      </c>
      <c r="AB8" s="139">
        <v>14739</v>
      </c>
      <c r="AC8" s="145">
        <v>17462</v>
      </c>
      <c r="AD8" s="145">
        <v>20191</v>
      </c>
      <c r="AE8" s="145">
        <v>18421</v>
      </c>
      <c r="AF8" s="145">
        <v>18421</v>
      </c>
      <c r="AG8" s="138">
        <v>18421</v>
      </c>
      <c r="AH8" s="138">
        <v>18547</v>
      </c>
      <c r="AI8" s="145">
        <v>10925</v>
      </c>
      <c r="AJ8" s="145">
        <v>11186</v>
      </c>
      <c r="AK8" s="145">
        <v>11186</v>
      </c>
      <c r="AL8" s="138">
        <v>11186</v>
      </c>
      <c r="AM8" s="145">
        <v>7722</v>
      </c>
    </row>
    <row r="9" spans="1:41" ht="13" customHeight="1">
      <c r="A9" s="90" t="s">
        <v>625</v>
      </c>
      <c r="B9" s="90" t="s">
        <v>611</v>
      </c>
      <c r="C9" s="145">
        <v>0</v>
      </c>
      <c r="D9" s="145">
        <v>0</v>
      </c>
      <c r="E9" s="145">
        <v>0</v>
      </c>
      <c r="F9" s="139">
        <v>0</v>
      </c>
      <c r="G9" s="139">
        <v>3914</v>
      </c>
      <c r="H9" s="139">
        <v>10057</v>
      </c>
      <c r="I9" s="145">
        <v>16646</v>
      </c>
      <c r="J9" s="145">
        <v>24870</v>
      </c>
      <c r="K9" s="145">
        <v>9410</v>
      </c>
      <c r="L9" s="145">
        <v>18758</v>
      </c>
      <c r="M9" s="145">
        <v>28382</v>
      </c>
      <c r="N9" s="139">
        <v>38099</v>
      </c>
      <c r="O9" s="145">
        <v>9479</v>
      </c>
      <c r="P9" s="145">
        <v>19551</v>
      </c>
      <c r="Q9" s="145">
        <v>29483</v>
      </c>
      <c r="R9" s="145">
        <v>39555</v>
      </c>
      <c r="S9" s="145">
        <v>10304</v>
      </c>
      <c r="T9" s="145">
        <v>20938</v>
      </c>
      <c r="U9" s="145">
        <v>32149</v>
      </c>
      <c r="V9" s="145">
        <v>42935</v>
      </c>
      <c r="W9" s="145">
        <v>10282</v>
      </c>
      <c r="X9" s="145">
        <v>20879</v>
      </c>
      <c r="Y9" s="145">
        <v>31391</v>
      </c>
      <c r="Z9" s="145">
        <v>41953</v>
      </c>
      <c r="AA9" s="145">
        <v>11137</v>
      </c>
      <c r="AB9" s="145">
        <v>22091</v>
      </c>
      <c r="AC9" s="145">
        <v>33117</v>
      </c>
      <c r="AD9" s="145">
        <v>44999</v>
      </c>
      <c r="AE9" s="145">
        <v>12182</v>
      </c>
      <c r="AF9" s="145">
        <v>24715</v>
      </c>
      <c r="AG9" s="138">
        <v>37445</v>
      </c>
      <c r="AH9" s="138">
        <v>49917</v>
      </c>
      <c r="AI9" s="145">
        <v>12538</v>
      </c>
      <c r="AJ9" s="145">
        <v>24912</v>
      </c>
      <c r="AK9" s="145">
        <v>37261</v>
      </c>
      <c r="AL9" s="138">
        <v>50113</v>
      </c>
      <c r="AM9" s="145">
        <v>13517</v>
      </c>
    </row>
    <row r="10" spans="1:41" ht="13" customHeight="1">
      <c r="A10" s="90" t="s">
        <v>626</v>
      </c>
      <c r="B10" s="90" t="s">
        <v>612</v>
      </c>
      <c r="C10" s="139" t="s">
        <v>670</v>
      </c>
      <c r="D10" s="139" t="s">
        <v>670</v>
      </c>
      <c r="E10" s="139">
        <v>2</v>
      </c>
      <c r="F10" s="139">
        <v>7</v>
      </c>
      <c r="G10" s="139" t="s">
        <v>670</v>
      </c>
      <c r="H10" s="139" t="s">
        <v>670</v>
      </c>
      <c r="I10" s="139">
        <v>2</v>
      </c>
      <c r="J10" s="139">
        <v>26</v>
      </c>
      <c r="K10" s="139">
        <v>0</v>
      </c>
      <c r="L10" s="139">
        <v>0</v>
      </c>
      <c r="M10" s="139">
        <v>0</v>
      </c>
      <c r="N10" s="139">
        <v>41</v>
      </c>
      <c r="O10" s="139">
        <v>2</v>
      </c>
      <c r="P10" s="139">
        <v>11</v>
      </c>
      <c r="Q10" s="139">
        <v>12</v>
      </c>
      <c r="R10" s="139">
        <v>21</v>
      </c>
      <c r="S10" s="139">
        <v>0</v>
      </c>
      <c r="T10" s="139">
        <v>50</v>
      </c>
      <c r="U10" s="139">
        <v>55</v>
      </c>
      <c r="V10" s="139">
        <v>63</v>
      </c>
      <c r="W10" s="139">
        <v>61</v>
      </c>
      <c r="X10" s="139">
        <v>302</v>
      </c>
      <c r="Y10" s="139">
        <v>326</v>
      </c>
      <c r="Z10" s="139">
        <v>326</v>
      </c>
      <c r="AA10" s="139">
        <v>0</v>
      </c>
      <c r="AB10" s="139">
        <v>4</v>
      </c>
      <c r="AC10" s="145">
        <v>4</v>
      </c>
      <c r="AD10" s="145">
        <v>4</v>
      </c>
      <c r="AE10" s="145">
        <v>0</v>
      </c>
      <c r="AF10" s="145">
        <v>5</v>
      </c>
      <c r="AG10" s="138">
        <v>295</v>
      </c>
      <c r="AH10" s="138" t="s">
        <v>97</v>
      </c>
      <c r="AI10" s="138" t="s">
        <v>97</v>
      </c>
      <c r="AJ10" s="138" t="s">
        <v>97</v>
      </c>
      <c r="AK10" s="138" t="s">
        <v>97</v>
      </c>
      <c r="AL10" s="138" t="s">
        <v>97</v>
      </c>
      <c r="AM10" s="138" t="s">
        <v>97</v>
      </c>
    </row>
    <row r="11" spans="1:41" ht="13" customHeight="1">
      <c r="A11" s="90" t="s">
        <v>668</v>
      </c>
      <c r="B11" s="90" t="s">
        <v>667</v>
      </c>
      <c r="C11" s="139" t="s">
        <v>670</v>
      </c>
      <c r="D11" s="139" t="s">
        <v>670</v>
      </c>
      <c r="E11" s="139" t="s">
        <v>670</v>
      </c>
      <c r="F11" s="139" t="s">
        <v>670</v>
      </c>
      <c r="G11" s="139" t="s">
        <v>670</v>
      </c>
      <c r="H11" s="139" t="s">
        <v>670</v>
      </c>
      <c r="I11" s="139" t="s">
        <v>670</v>
      </c>
      <c r="J11" s="139" t="s">
        <v>670</v>
      </c>
      <c r="K11" s="139" t="s">
        <v>670</v>
      </c>
      <c r="L11" s="139" t="s">
        <v>670</v>
      </c>
      <c r="M11" s="139" t="s">
        <v>670</v>
      </c>
      <c r="N11" s="139" t="s">
        <v>670</v>
      </c>
      <c r="O11" s="139" t="s">
        <v>670</v>
      </c>
      <c r="P11" s="139" t="s">
        <v>670</v>
      </c>
      <c r="Q11" s="139" t="s">
        <v>670</v>
      </c>
      <c r="R11" s="139" t="s">
        <v>670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12236</v>
      </c>
      <c r="Y11" s="139">
        <v>12236</v>
      </c>
      <c r="Z11" s="139">
        <v>19830</v>
      </c>
      <c r="AA11" s="139">
        <v>0</v>
      </c>
      <c r="AB11" s="139">
        <v>0</v>
      </c>
      <c r="AC11" s="145">
        <v>0</v>
      </c>
      <c r="AD11" s="145">
        <v>0</v>
      </c>
      <c r="AE11" s="145">
        <v>0</v>
      </c>
      <c r="AF11" s="145">
        <v>0</v>
      </c>
      <c r="AG11" s="138">
        <v>0</v>
      </c>
      <c r="AH11" s="138">
        <v>0</v>
      </c>
      <c r="AI11" s="145">
        <v>0</v>
      </c>
      <c r="AJ11" s="145">
        <v>0</v>
      </c>
      <c r="AK11" s="145">
        <v>9</v>
      </c>
      <c r="AL11" s="138">
        <v>0</v>
      </c>
      <c r="AM11" s="145">
        <v>0</v>
      </c>
    </row>
    <row r="12" spans="1:41" ht="13" customHeight="1">
      <c r="A12" s="90" t="s">
        <v>464</v>
      </c>
      <c r="B12" s="90" t="s">
        <v>463</v>
      </c>
      <c r="C12" s="139" t="s">
        <v>670</v>
      </c>
      <c r="D12" s="139" t="s">
        <v>670</v>
      </c>
      <c r="E12" s="139" t="s">
        <v>670</v>
      </c>
      <c r="F12" s="139" t="s">
        <v>670</v>
      </c>
      <c r="G12" s="139" t="s">
        <v>670</v>
      </c>
      <c r="H12" s="139" t="s">
        <v>670</v>
      </c>
      <c r="I12" s="139" t="s">
        <v>670</v>
      </c>
      <c r="J12" s="139" t="s">
        <v>670</v>
      </c>
      <c r="K12" s="139" t="s">
        <v>670</v>
      </c>
      <c r="L12" s="139" t="s">
        <v>670</v>
      </c>
      <c r="M12" s="139" t="s">
        <v>670</v>
      </c>
      <c r="N12" s="139" t="s">
        <v>670</v>
      </c>
      <c r="O12" s="139" t="s">
        <v>670</v>
      </c>
      <c r="P12" s="139" t="s">
        <v>670</v>
      </c>
      <c r="Q12" s="139" t="s">
        <v>670</v>
      </c>
      <c r="R12" s="139" t="s">
        <v>670</v>
      </c>
      <c r="S12" s="139" t="s">
        <v>97</v>
      </c>
      <c r="T12" s="139" t="s">
        <v>97</v>
      </c>
      <c r="U12" s="139" t="s">
        <v>97</v>
      </c>
      <c r="V12" s="139" t="s">
        <v>97</v>
      </c>
      <c r="W12" s="139" t="s">
        <v>97</v>
      </c>
      <c r="X12" s="139">
        <v>0</v>
      </c>
      <c r="Y12" s="139">
        <v>0</v>
      </c>
      <c r="Z12" s="139">
        <v>59</v>
      </c>
      <c r="AA12" s="139">
        <v>0</v>
      </c>
      <c r="AB12" s="139">
        <v>0</v>
      </c>
      <c r="AC12" s="145">
        <v>523</v>
      </c>
      <c r="AD12" s="145">
        <v>4063</v>
      </c>
      <c r="AE12" s="145">
        <v>4407</v>
      </c>
      <c r="AF12" s="145">
        <v>4643</v>
      </c>
      <c r="AG12" s="138">
        <v>7517</v>
      </c>
      <c r="AH12" s="138">
        <v>15802</v>
      </c>
      <c r="AI12" s="145">
        <v>96</v>
      </c>
      <c r="AJ12" s="145">
        <v>529</v>
      </c>
      <c r="AK12" s="145">
        <v>1553</v>
      </c>
      <c r="AL12" s="138">
        <v>10257</v>
      </c>
      <c r="AM12" s="145">
        <v>341</v>
      </c>
    </row>
    <row r="13" spans="1:41" ht="13" customHeight="1">
      <c r="A13" s="90" t="s">
        <v>627</v>
      </c>
      <c r="B13" s="90" t="s">
        <v>613</v>
      </c>
      <c r="C13" s="149" t="s">
        <v>670</v>
      </c>
      <c r="D13" s="149" t="s">
        <v>670</v>
      </c>
      <c r="E13" s="149" t="s">
        <v>670</v>
      </c>
      <c r="F13" s="149" t="s">
        <v>670</v>
      </c>
      <c r="G13" s="149" t="s">
        <v>670</v>
      </c>
      <c r="H13" s="149" t="s">
        <v>670</v>
      </c>
      <c r="I13" s="149" t="s">
        <v>670</v>
      </c>
      <c r="J13" s="149" t="s">
        <v>670</v>
      </c>
      <c r="K13" s="149" t="s">
        <v>670</v>
      </c>
      <c r="L13" s="149" t="s">
        <v>670</v>
      </c>
      <c r="M13" s="149" t="s">
        <v>670</v>
      </c>
      <c r="N13" s="149" t="s">
        <v>670</v>
      </c>
      <c r="O13" s="149" t="s">
        <v>670</v>
      </c>
      <c r="P13" s="149" t="s">
        <v>670</v>
      </c>
      <c r="Q13" s="149" t="s">
        <v>670</v>
      </c>
      <c r="R13" s="149" t="s">
        <v>670</v>
      </c>
      <c r="S13" s="140">
        <v>0</v>
      </c>
      <c r="T13" s="140">
        <v>0</v>
      </c>
      <c r="U13" s="140">
        <v>0</v>
      </c>
      <c r="V13" s="140"/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38">
        <v>10161</v>
      </c>
      <c r="AH13" s="138">
        <v>11755</v>
      </c>
      <c r="AI13" s="140">
        <v>0</v>
      </c>
      <c r="AJ13" s="140">
        <v>0</v>
      </c>
      <c r="AK13" s="140">
        <v>0</v>
      </c>
      <c r="AL13" s="154">
        <v>0</v>
      </c>
      <c r="AM13" s="140">
        <v>0</v>
      </c>
    </row>
    <row r="14" spans="1:41" ht="13" customHeight="1">
      <c r="A14" s="90" t="s">
        <v>307</v>
      </c>
      <c r="B14" s="90" t="s">
        <v>614</v>
      </c>
      <c r="C14" s="145">
        <v>1685</v>
      </c>
      <c r="D14" s="145">
        <v>3773</v>
      </c>
      <c r="E14" s="145">
        <v>4674</v>
      </c>
      <c r="F14" s="145">
        <v>6094</v>
      </c>
      <c r="G14" s="145">
        <v>865</v>
      </c>
      <c r="H14" s="145">
        <v>2818</v>
      </c>
      <c r="I14" s="145">
        <v>2577</v>
      </c>
      <c r="J14" s="145">
        <v>6089</v>
      </c>
      <c r="K14" s="145">
        <v>2088</v>
      </c>
      <c r="L14" s="145">
        <v>3853</v>
      </c>
      <c r="M14" s="145">
        <v>8711</v>
      </c>
      <c r="N14" s="145">
        <v>3832</v>
      </c>
      <c r="O14" s="145">
        <v>1258</v>
      </c>
      <c r="P14" s="145">
        <v>3446</v>
      </c>
      <c r="Q14" s="145">
        <v>8375</v>
      </c>
      <c r="R14" s="145">
        <v>13728</v>
      </c>
      <c r="S14" s="145">
        <v>1682</v>
      </c>
      <c r="T14" s="145">
        <v>4143</v>
      </c>
      <c r="U14" s="145">
        <v>4141</v>
      </c>
      <c r="V14" s="145">
        <v>8943</v>
      </c>
      <c r="W14" s="145">
        <v>1756</v>
      </c>
      <c r="X14" s="139">
        <v>4382</v>
      </c>
      <c r="Y14" s="139">
        <v>5906</v>
      </c>
      <c r="Z14" s="145">
        <v>8295</v>
      </c>
      <c r="AA14" s="139">
        <v>1297</v>
      </c>
      <c r="AB14" s="139">
        <v>4159</v>
      </c>
      <c r="AC14" s="145">
        <v>9463</v>
      </c>
      <c r="AD14" s="145">
        <v>19574</v>
      </c>
      <c r="AE14" s="145">
        <v>5414</v>
      </c>
      <c r="AF14" s="145">
        <v>9235</v>
      </c>
      <c r="AG14" s="138">
        <v>12241</v>
      </c>
      <c r="AH14" s="138">
        <v>24388</v>
      </c>
      <c r="AI14" s="145">
        <v>6594</v>
      </c>
      <c r="AJ14" s="145">
        <v>16671</v>
      </c>
      <c r="AK14" s="145">
        <v>29118</v>
      </c>
      <c r="AL14" s="138">
        <v>27926</v>
      </c>
      <c r="AM14" s="145">
        <v>3182</v>
      </c>
    </row>
    <row r="15" spans="1:41" ht="13" customHeight="1">
      <c r="A15" s="88" t="s">
        <v>628</v>
      </c>
      <c r="B15" s="88" t="s">
        <v>615</v>
      </c>
      <c r="C15" s="146">
        <v>-315</v>
      </c>
      <c r="D15" s="89">
        <v>-6140</v>
      </c>
      <c r="E15" s="89">
        <v>-6299</v>
      </c>
      <c r="F15" s="146">
        <v>-6354</v>
      </c>
      <c r="G15" s="146">
        <v>-153</v>
      </c>
      <c r="H15" s="146">
        <v>-153</v>
      </c>
      <c r="I15" s="146">
        <v>-153</v>
      </c>
      <c r="J15" s="146">
        <v>-98816</v>
      </c>
      <c r="K15" s="146">
        <v>-1845</v>
      </c>
      <c r="L15" s="146">
        <v>-3515</v>
      </c>
      <c r="M15" s="146">
        <v>-7798</v>
      </c>
      <c r="N15" s="146">
        <v>-8656</v>
      </c>
      <c r="O15" s="146">
        <v>-2940</v>
      </c>
      <c r="P15" s="146">
        <v>-1157</v>
      </c>
      <c r="Q15" s="146">
        <v>-3099</v>
      </c>
      <c r="R15" s="146">
        <v>-5341</v>
      </c>
      <c r="S15" s="146">
        <v>-553</v>
      </c>
      <c r="T15" s="89">
        <v>-2468</v>
      </c>
      <c r="U15" s="89">
        <v>-3047</v>
      </c>
      <c r="V15" s="146">
        <v>-6803</v>
      </c>
      <c r="W15" s="146">
        <v>-32</v>
      </c>
      <c r="X15" s="147">
        <v>-914</v>
      </c>
      <c r="Y15" s="147">
        <v>-365</v>
      </c>
      <c r="Z15" s="146">
        <v>-3026</v>
      </c>
      <c r="AA15" s="147">
        <v>-989</v>
      </c>
      <c r="AB15" s="147">
        <v>-1554</v>
      </c>
      <c r="AC15" s="146">
        <v>-2013</v>
      </c>
      <c r="AD15" s="146">
        <v>-3200</v>
      </c>
      <c r="AE15" s="146">
        <v>-454</v>
      </c>
      <c r="AF15" s="146">
        <v>-2635</v>
      </c>
      <c r="AG15" s="143">
        <v>-3721</v>
      </c>
      <c r="AH15" s="143">
        <v>-7735</v>
      </c>
      <c r="AI15" s="146">
        <v>-1187</v>
      </c>
      <c r="AJ15" s="146">
        <v>58</v>
      </c>
      <c r="AK15" s="146">
        <v>1064</v>
      </c>
      <c r="AL15" s="143">
        <v>-6575</v>
      </c>
      <c r="AM15" s="146">
        <v>-1331</v>
      </c>
    </row>
    <row r="16" spans="1:41" ht="13" customHeight="1">
      <c r="A16" s="88" t="s">
        <v>629</v>
      </c>
      <c r="B16" s="88" t="s">
        <v>616</v>
      </c>
      <c r="C16" s="146">
        <v>-500</v>
      </c>
      <c r="D16" s="146">
        <v>252</v>
      </c>
      <c r="E16" s="146">
        <v>647</v>
      </c>
      <c r="F16" s="146">
        <v>380</v>
      </c>
      <c r="G16" s="146">
        <v>81</v>
      </c>
      <c r="H16" s="146">
        <v>112</v>
      </c>
      <c r="I16" s="146">
        <v>762</v>
      </c>
      <c r="J16" s="146">
        <v>240</v>
      </c>
      <c r="K16" s="146">
        <v>62</v>
      </c>
      <c r="L16" s="146">
        <v>109</v>
      </c>
      <c r="M16" s="146">
        <v>173</v>
      </c>
      <c r="N16" s="146">
        <v>2904</v>
      </c>
      <c r="O16" s="146">
        <v>-396</v>
      </c>
      <c r="P16" s="146">
        <v>150</v>
      </c>
      <c r="Q16" s="146">
        <v>673</v>
      </c>
      <c r="R16" s="146">
        <v>1439</v>
      </c>
      <c r="S16" s="146">
        <v>119</v>
      </c>
      <c r="T16" s="89">
        <v>181</v>
      </c>
      <c r="U16" s="89">
        <v>513</v>
      </c>
      <c r="V16" s="146">
        <v>-617</v>
      </c>
      <c r="W16" s="146">
        <v>-283</v>
      </c>
      <c r="X16" s="147">
        <v>-63</v>
      </c>
      <c r="Y16" s="147">
        <v>-43</v>
      </c>
      <c r="Z16" s="146">
        <v>6349</v>
      </c>
      <c r="AA16" s="147">
        <v>-311</v>
      </c>
      <c r="AB16" s="147">
        <v>5311</v>
      </c>
      <c r="AC16" s="146">
        <v>7206</v>
      </c>
      <c r="AD16" s="146">
        <v>33300</v>
      </c>
      <c r="AE16" s="146">
        <v>-124</v>
      </c>
      <c r="AF16" s="146">
        <v>-260</v>
      </c>
      <c r="AG16" s="143">
        <v>0</v>
      </c>
      <c r="AH16" s="143">
        <v>0</v>
      </c>
      <c r="AI16" s="146">
        <v>0</v>
      </c>
      <c r="AJ16" s="146">
        <v>0</v>
      </c>
      <c r="AK16" s="146">
        <v>-42</v>
      </c>
      <c r="AL16" s="143">
        <v>0</v>
      </c>
      <c r="AM16" s="146">
        <v>0</v>
      </c>
    </row>
    <row r="17" spans="1:39" ht="13" customHeight="1">
      <c r="A17" s="88" t="s">
        <v>307</v>
      </c>
      <c r="B17" s="88" t="s">
        <v>614</v>
      </c>
      <c r="C17" s="146" t="s">
        <v>670</v>
      </c>
      <c r="D17" s="146">
        <v>-1676</v>
      </c>
      <c r="E17" s="146">
        <v>-4642</v>
      </c>
      <c r="F17" s="146">
        <f>-3038-1668</f>
        <v>-4706</v>
      </c>
      <c r="G17" s="146">
        <v>0</v>
      </c>
      <c r="H17" s="146">
        <v>0</v>
      </c>
      <c r="I17" s="146">
        <v>232</v>
      </c>
      <c r="J17" s="146">
        <f>643-8186</f>
        <v>-7543</v>
      </c>
      <c r="K17" s="146">
        <f>33-269</f>
        <v>-236</v>
      </c>
      <c r="L17" s="146">
        <v>-9122</v>
      </c>
      <c r="M17" s="146">
        <v>8123</v>
      </c>
      <c r="N17" s="146">
        <v>13962</v>
      </c>
      <c r="O17" s="146">
        <v>-8415</v>
      </c>
      <c r="P17" s="146">
        <v>-6965</v>
      </c>
      <c r="Q17" s="146">
        <v>-5227</v>
      </c>
      <c r="R17" s="146">
        <f>-2304+337</f>
        <v>-1967</v>
      </c>
      <c r="S17" s="146">
        <v>892</v>
      </c>
      <c r="T17" s="89">
        <v>2150</v>
      </c>
      <c r="U17" s="89">
        <v>1290</v>
      </c>
      <c r="V17" s="146">
        <v>5092</v>
      </c>
      <c r="W17" s="146">
        <v>-5950</v>
      </c>
      <c r="X17" s="147">
        <v>-8838</v>
      </c>
      <c r="Y17" s="147">
        <v>-5496</v>
      </c>
      <c r="Z17" s="146">
        <v>-10056</v>
      </c>
      <c r="AA17" s="147">
        <v>-337</v>
      </c>
      <c r="AB17" s="147">
        <v>-4731</v>
      </c>
      <c r="AC17" s="146">
        <v>-6615</v>
      </c>
      <c r="AD17" s="146">
        <v>-5894</v>
      </c>
      <c r="AE17" s="143">
        <v>8721</v>
      </c>
      <c r="AF17" s="143">
        <v>7167</v>
      </c>
      <c r="AG17" s="143">
        <v>8060</v>
      </c>
      <c r="AH17" s="143">
        <v>-572</v>
      </c>
      <c r="AI17" s="143">
        <v>-212</v>
      </c>
      <c r="AJ17" s="143">
        <v>4863</v>
      </c>
      <c r="AK17" s="143">
        <v>5099</v>
      </c>
      <c r="AL17" s="143">
        <v>14864</v>
      </c>
      <c r="AM17" s="138">
        <v>1013</v>
      </c>
    </row>
    <row r="18" spans="1:39" ht="13" customHeight="1">
      <c r="A18" s="88" t="s">
        <v>630</v>
      </c>
      <c r="B18" s="88" t="s">
        <v>617</v>
      </c>
      <c r="C18" s="89">
        <v>25747</v>
      </c>
      <c r="D18" s="146">
        <v>41517</v>
      </c>
      <c r="E18" s="146">
        <v>65529</v>
      </c>
      <c r="F18" s="89">
        <v>77033</v>
      </c>
      <c r="G18" s="89">
        <v>26159</v>
      </c>
      <c r="H18" s="89">
        <v>55328</v>
      </c>
      <c r="I18" s="146">
        <v>85978</v>
      </c>
      <c r="J18" s="89">
        <v>73337</v>
      </c>
      <c r="K18" s="89">
        <v>35122</v>
      </c>
      <c r="L18" s="89">
        <v>62977</v>
      </c>
      <c r="M18" s="89">
        <v>141561</v>
      </c>
      <c r="N18" s="89">
        <v>217551</v>
      </c>
      <c r="O18" s="89">
        <v>56653</v>
      </c>
      <c r="P18" s="89">
        <v>135482</v>
      </c>
      <c r="Q18" s="89">
        <v>210122</v>
      </c>
      <c r="R18" s="89">
        <v>274918</v>
      </c>
      <c r="S18" s="89">
        <v>81421</v>
      </c>
      <c r="T18" s="89">
        <v>143377</v>
      </c>
      <c r="U18" s="89">
        <v>200049</v>
      </c>
      <c r="V18" s="146">
        <v>241391</v>
      </c>
      <c r="W18" s="146">
        <v>47503.65</v>
      </c>
      <c r="X18" s="147">
        <v>-14664.009999999995</v>
      </c>
      <c r="Y18" s="147">
        <v>33071</v>
      </c>
      <c r="Z18" s="146">
        <v>104783</v>
      </c>
      <c r="AA18" s="147">
        <v>62750</v>
      </c>
      <c r="AB18" s="147">
        <v>128265</v>
      </c>
      <c r="AC18" s="146">
        <v>191178</v>
      </c>
      <c r="AD18" s="146">
        <v>297286</v>
      </c>
      <c r="AE18" s="143">
        <v>104214</v>
      </c>
      <c r="AF18" s="143">
        <v>189881</v>
      </c>
      <c r="AG18" s="143">
        <v>216741</v>
      </c>
      <c r="AH18" s="143">
        <v>352913</v>
      </c>
      <c r="AI18" s="143">
        <v>143091</v>
      </c>
      <c r="AJ18" s="143">
        <v>314519.3</v>
      </c>
      <c r="AK18" s="143">
        <v>483300</v>
      </c>
      <c r="AL18" s="143">
        <v>676930</v>
      </c>
      <c r="AM18" s="143">
        <v>190633</v>
      </c>
    </row>
    <row r="19" spans="1:39" ht="13" customHeight="1">
      <c r="A19" s="88" t="s">
        <v>631</v>
      </c>
      <c r="B19" s="88" t="s">
        <v>618</v>
      </c>
      <c r="C19" s="137">
        <v>0.21959999999999999</v>
      </c>
      <c r="D19" s="137">
        <v>0.1885</v>
      </c>
      <c r="E19" s="137">
        <v>0.1956</v>
      </c>
      <c r="F19" s="137">
        <v>0.1996</v>
      </c>
      <c r="G19" s="137">
        <v>0.2462</v>
      </c>
      <c r="H19" s="137">
        <v>0.24990000000000001</v>
      </c>
      <c r="I19" s="137">
        <v>0.25690000000000002</v>
      </c>
      <c r="J19" s="137">
        <v>0.11310000000000001</v>
      </c>
      <c r="K19" s="137">
        <v>0.29880000000000001</v>
      </c>
      <c r="L19" s="137">
        <v>0.28000000000000003</v>
      </c>
      <c r="M19" s="137">
        <v>0.29380000000000001</v>
      </c>
      <c r="N19" s="137">
        <v>0.31569999999999998</v>
      </c>
      <c r="O19" s="137">
        <v>0.26469999999999999</v>
      </c>
      <c r="P19" s="137">
        <v>0.27339999999999998</v>
      </c>
      <c r="Q19" s="137">
        <v>0.2782</v>
      </c>
      <c r="R19" s="137">
        <v>0.2782</v>
      </c>
      <c r="S19" s="137">
        <v>0.44030000000000002</v>
      </c>
      <c r="T19" s="137">
        <v>0.34</v>
      </c>
      <c r="U19" s="137">
        <v>0.38</v>
      </c>
      <c r="V19" s="137">
        <v>0.48949999999999999</v>
      </c>
      <c r="W19" s="137">
        <v>0.3947</v>
      </c>
      <c r="X19" s="133" t="s">
        <v>97</v>
      </c>
      <c r="Y19" s="133" t="s">
        <v>97</v>
      </c>
      <c r="Z19" s="133" t="s">
        <v>97</v>
      </c>
      <c r="AA19" s="148">
        <v>0.36730000000000002</v>
      </c>
      <c r="AB19" s="148">
        <v>0.35610000000000003</v>
      </c>
      <c r="AC19" s="148">
        <v>0.33339999999999997</v>
      </c>
      <c r="AD19" s="148">
        <v>0.38150000000000001</v>
      </c>
      <c r="AE19" s="148">
        <v>0.38119999999999998</v>
      </c>
      <c r="AF19" s="148">
        <v>0.3301</v>
      </c>
      <c r="AG19" s="148">
        <v>0.4017</v>
      </c>
      <c r="AH19" s="148">
        <v>0.34060000000000001</v>
      </c>
      <c r="AI19" s="148">
        <v>0.28120000000000001</v>
      </c>
      <c r="AJ19" s="148">
        <v>0.26511063159048187</v>
      </c>
      <c r="AK19" s="148">
        <v>0.25084184870390591</v>
      </c>
      <c r="AL19" s="148">
        <v>0.25006141360260503</v>
      </c>
      <c r="AM19" s="148">
        <v>0.24797530562283579</v>
      </c>
    </row>
    <row r="20" spans="1:39">
      <c r="A20" s="95"/>
      <c r="B20" s="95"/>
      <c r="C20" s="95"/>
      <c r="AE20" s="9"/>
      <c r="AF20" s="9"/>
      <c r="AG20" s="9"/>
      <c r="AH20" s="9"/>
      <c r="AL20" s="9"/>
    </row>
    <row r="21" spans="1:39">
      <c r="AG21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AB217"/>
  <sheetViews>
    <sheetView zoomScaleNormal="100" workbookViewId="0">
      <pane xSplit="3" ySplit="3" topLeftCell="U106" activePane="bottomRight" state="frozen"/>
      <selection activeCell="AI51" sqref="AI51"/>
      <selection pane="topRight" activeCell="AI51" sqref="AI51"/>
      <selection pane="bottomLeft" activeCell="AI51" sqref="AI51"/>
      <selection pane="bottomRight" activeCell="AC207" sqref="AC207"/>
    </sheetView>
  </sheetViews>
  <sheetFormatPr defaultColWidth="10.6640625" defaultRowHeight="11.5"/>
  <cols>
    <col min="1" max="1" width="1.6640625" style="101" customWidth="1"/>
    <col min="2" max="3" width="50.6640625" style="101" customWidth="1"/>
    <col min="4" max="23" width="10.6640625" style="101" customWidth="1"/>
    <col min="24" max="16384" width="10.6640625" style="101"/>
  </cols>
  <sheetData>
    <row r="1" spans="2:28" ht="13" customHeight="1" thickBot="1">
      <c r="B1" s="100" t="str">
        <f>HYPERLINK("#Spis_treści!B6",Menu!B6)</f>
        <v>Table of contents</v>
      </c>
      <c r="C1" s="100" t="str">
        <f>HYPERLINK("#Spis_treści!C6",Menu!C6)</f>
        <v>Spis treści</v>
      </c>
    </row>
    <row r="2" spans="2:28" ht="13" customHeight="1" thickBot="1">
      <c r="D2" s="1" t="s">
        <v>418</v>
      </c>
      <c r="E2" s="1" t="s">
        <v>465</v>
      </c>
      <c r="F2" s="1" t="s">
        <v>467</v>
      </c>
      <c r="G2" s="1" t="s">
        <v>469</v>
      </c>
      <c r="H2" s="1" t="s">
        <v>422</v>
      </c>
      <c r="I2" s="1" t="s">
        <v>471</v>
      </c>
      <c r="J2" s="1" t="s">
        <v>473</v>
      </c>
      <c r="K2" s="1" t="s">
        <v>475</v>
      </c>
      <c r="L2" s="1" t="s">
        <v>426</v>
      </c>
      <c r="M2" s="1" t="s">
        <v>477</v>
      </c>
      <c r="N2" s="1" t="s">
        <v>479</v>
      </c>
      <c r="O2" s="1" t="s">
        <v>481</v>
      </c>
      <c r="P2" s="1" t="s">
        <v>430</v>
      </c>
      <c r="Q2" s="1" t="s">
        <v>483</v>
      </c>
      <c r="R2" s="1" t="s">
        <v>485</v>
      </c>
      <c r="S2" s="1" t="s">
        <v>487</v>
      </c>
      <c r="T2" s="1" t="s">
        <v>491</v>
      </c>
      <c r="U2" s="1" t="s">
        <v>495</v>
      </c>
      <c r="V2" s="1" t="s">
        <v>524</v>
      </c>
      <c r="W2" s="1" t="s">
        <v>663</v>
      </c>
      <c r="X2" s="1" t="s">
        <v>671</v>
      </c>
      <c r="Y2" s="1" t="s">
        <v>679</v>
      </c>
      <c r="Z2" s="1" t="s">
        <v>681</v>
      </c>
      <c r="AA2" s="1" t="s">
        <v>687</v>
      </c>
      <c r="AB2" s="1" t="s">
        <v>695</v>
      </c>
    </row>
    <row r="3" spans="2:28" ht="13" customHeight="1" thickBot="1">
      <c r="B3" s="102" t="s">
        <v>639</v>
      </c>
      <c r="C3" s="102" t="s">
        <v>640</v>
      </c>
      <c r="D3" s="1" t="s">
        <v>445</v>
      </c>
      <c r="E3" s="1" t="s">
        <v>466</v>
      </c>
      <c r="F3" s="1" t="s">
        <v>468</v>
      </c>
      <c r="G3" s="1" t="s">
        <v>470</v>
      </c>
      <c r="H3" s="1" t="s">
        <v>449</v>
      </c>
      <c r="I3" s="1" t="s">
        <v>472</v>
      </c>
      <c r="J3" s="1" t="s">
        <v>474</v>
      </c>
      <c r="K3" s="1" t="s">
        <v>476</v>
      </c>
      <c r="L3" s="1" t="s">
        <v>453</v>
      </c>
      <c r="M3" s="1" t="s">
        <v>478</v>
      </c>
      <c r="N3" s="1" t="s">
        <v>480</v>
      </c>
      <c r="O3" s="1" t="s">
        <v>482</v>
      </c>
      <c r="P3" s="1" t="s">
        <v>457</v>
      </c>
      <c r="Q3" s="1" t="s">
        <v>484</v>
      </c>
      <c r="R3" s="1" t="s">
        <v>486</v>
      </c>
      <c r="S3" s="1" t="s">
        <v>488</v>
      </c>
      <c r="T3" s="1" t="s">
        <v>492</v>
      </c>
      <c r="U3" s="1" t="s">
        <v>496</v>
      </c>
      <c r="V3" s="1" t="s">
        <v>525</v>
      </c>
      <c r="W3" s="1" t="s">
        <v>664</v>
      </c>
      <c r="X3" s="1" t="s">
        <v>672</v>
      </c>
      <c r="Y3" s="1" t="s">
        <v>680</v>
      </c>
      <c r="Z3" s="1" t="s">
        <v>682</v>
      </c>
      <c r="AA3" s="1" t="s">
        <v>688</v>
      </c>
      <c r="AB3" s="1" t="s">
        <v>696</v>
      </c>
    </row>
    <row r="4" spans="2:28" ht="13" customHeight="1">
      <c r="B4" s="103" t="s">
        <v>521</v>
      </c>
      <c r="C4" s="103" t="s">
        <v>134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</row>
    <row r="5" spans="2:28" s="105" customFormat="1" ht="13" customHeight="1">
      <c r="B5" s="126" t="s">
        <v>344</v>
      </c>
      <c r="C5" s="126" t="s">
        <v>345</v>
      </c>
      <c r="D5" s="127">
        <f t="shared" ref="D5:N5" si="0">D6+D7+D8</f>
        <v>453799</v>
      </c>
      <c r="E5" s="127">
        <f t="shared" si="0"/>
        <v>939902</v>
      </c>
      <c r="F5" s="127">
        <f t="shared" si="0"/>
        <v>1427766</v>
      </c>
      <c r="G5" s="127">
        <f t="shared" si="0"/>
        <v>1911561</v>
      </c>
      <c r="H5" s="127">
        <f t="shared" si="0"/>
        <v>485209</v>
      </c>
      <c r="I5" s="127">
        <f t="shared" si="0"/>
        <v>992206</v>
      </c>
      <c r="J5" s="127">
        <f t="shared" si="0"/>
        <v>1488272</v>
      </c>
      <c r="K5" s="127">
        <f t="shared" si="0"/>
        <v>1838966</v>
      </c>
      <c r="L5" s="127">
        <f t="shared" si="0"/>
        <v>442614</v>
      </c>
      <c r="M5" s="127">
        <f t="shared" si="0"/>
        <v>855722</v>
      </c>
      <c r="N5" s="127">
        <f t="shared" si="0"/>
        <v>1268211</v>
      </c>
      <c r="O5" s="127">
        <f t="shared" ref="O5:T5" si="1">O6+O7+O8</f>
        <v>1672832</v>
      </c>
      <c r="P5" s="127">
        <f t="shared" si="1"/>
        <v>420645</v>
      </c>
      <c r="Q5" s="127">
        <f t="shared" si="1"/>
        <v>842180</v>
      </c>
      <c r="R5" s="127">
        <f t="shared" si="1"/>
        <v>1301396</v>
      </c>
      <c r="S5" s="127">
        <f t="shared" si="1"/>
        <v>1799566</v>
      </c>
      <c r="T5" s="127">
        <f t="shared" si="1"/>
        <v>582288</v>
      </c>
      <c r="U5" s="127">
        <f t="shared" ref="U5:V5" si="2">U6+U7+U8</f>
        <v>1270294</v>
      </c>
      <c r="V5" s="127">
        <f t="shared" si="2"/>
        <v>1448896</v>
      </c>
      <c r="W5" s="127">
        <f t="shared" ref="W5:X5" si="3">W6+W7+W8</f>
        <v>2130848</v>
      </c>
      <c r="X5" s="127">
        <f t="shared" si="3"/>
        <v>614666</v>
      </c>
      <c r="Y5" s="127">
        <f t="shared" ref="Y5:AA5" si="4">Y6+Y7+Y8</f>
        <v>1281164</v>
      </c>
      <c r="Z5" s="127">
        <f t="shared" si="4"/>
        <v>1984936</v>
      </c>
      <c r="AA5" s="127">
        <f t="shared" si="4"/>
        <v>2710379</v>
      </c>
      <c r="AB5" s="127">
        <f t="shared" ref="AB5" si="5">AB6+AB7+AB8</f>
        <v>691342</v>
      </c>
    </row>
    <row r="6" spans="2:28" ht="13" customHeight="1">
      <c r="B6" s="128" t="s">
        <v>346</v>
      </c>
      <c r="C6" s="128" t="s">
        <v>347</v>
      </c>
      <c r="D6" s="129">
        <v>552693</v>
      </c>
      <c r="E6" s="129">
        <v>1124426</v>
      </c>
      <c r="F6" s="129">
        <v>1710199</v>
      </c>
      <c r="G6" s="129">
        <v>2303068</v>
      </c>
      <c r="H6" s="129">
        <v>607621</v>
      </c>
      <c r="I6" s="129">
        <v>1237595</v>
      </c>
      <c r="J6" s="129">
        <v>1833398</v>
      </c>
      <c r="K6" s="129">
        <v>2323700</v>
      </c>
      <c r="L6" s="129">
        <v>555446</v>
      </c>
      <c r="M6" s="129">
        <v>1033049</v>
      </c>
      <c r="N6" s="129">
        <v>1498562</v>
      </c>
      <c r="O6" s="129">
        <v>1924348</v>
      </c>
      <c r="P6" s="129">
        <v>435640</v>
      </c>
      <c r="Q6" s="129">
        <v>865030</v>
      </c>
      <c r="R6" s="129">
        <v>1330546</v>
      </c>
      <c r="S6" s="129">
        <v>1848262</v>
      </c>
      <c r="T6" s="129">
        <v>631639</v>
      </c>
      <c r="U6" s="129">
        <v>1411723</v>
      </c>
      <c r="V6" s="129">
        <v>1795179</v>
      </c>
      <c r="W6" s="129">
        <v>2748627</v>
      </c>
      <c r="X6" s="129">
        <v>898170</v>
      </c>
      <c r="Y6" s="129">
        <v>1824776</v>
      </c>
      <c r="Z6" s="129">
        <v>2775143</v>
      </c>
      <c r="AA6" s="129">
        <v>3733627</v>
      </c>
      <c r="AB6" s="129">
        <v>918606</v>
      </c>
    </row>
    <row r="7" spans="2:28" ht="13" customHeight="1">
      <c r="B7" s="128" t="s">
        <v>348</v>
      </c>
      <c r="C7" s="128" t="s">
        <v>349</v>
      </c>
      <c r="D7" s="129">
        <v>0</v>
      </c>
      <c r="E7" s="129">
        <v>0</v>
      </c>
      <c r="F7" s="129">
        <v>0</v>
      </c>
      <c r="G7" s="129">
        <v>0</v>
      </c>
      <c r="H7" s="129">
        <v>0</v>
      </c>
      <c r="I7" s="129">
        <v>0</v>
      </c>
      <c r="J7" s="129">
        <v>0</v>
      </c>
      <c r="K7" s="128">
        <v>0</v>
      </c>
      <c r="L7" s="128">
        <v>0</v>
      </c>
      <c r="M7" s="129">
        <v>0</v>
      </c>
      <c r="N7" s="129">
        <v>0</v>
      </c>
      <c r="O7" s="128">
        <v>0</v>
      </c>
      <c r="P7" s="128">
        <v>0</v>
      </c>
      <c r="Q7" s="129">
        <v>0</v>
      </c>
      <c r="R7" s="129">
        <v>0</v>
      </c>
      <c r="S7" s="129">
        <v>0</v>
      </c>
      <c r="T7" s="128">
        <v>0</v>
      </c>
      <c r="U7" s="129">
        <v>0</v>
      </c>
      <c r="V7" s="129">
        <v>0</v>
      </c>
      <c r="W7" s="129">
        <v>0</v>
      </c>
      <c r="X7" s="129">
        <v>0</v>
      </c>
      <c r="Y7" s="129">
        <v>0</v>
      </c>
      <c r="Z7" s="129">
        <v>0</v>
      </c>
      <c r="AA7" s="129">
        <v>0</v>
      </c>
      <c r="AB7" s="129">
        <v>0</v>
      </c>
    </row>
    <row r="8" spans="2:28" ht="13" customHeight="1">
      <c r="B8" s="128" t="s">
        <v>350</v>
      </c>
      <c r="C8" s="128" t="s">
        <v>351</v>
      </c>
      <c r="D8" s="129">
        <v>-98894</v>
      </c>
      <c r="E8" s="129">
        <v>-184524</v>
      </c>
      <c r="F8" s="129">
        <v>-282433</v>
      </c>
      <c r="G8" s="129">
        <v>-391507</v>
      </c>
      <c r="H8" s="129">
        <v>-122412</v>
      </c>
      <c r="I8" s="129">
        <v>-245389</v>
      </c>
      <c r="J8" s="129">
        <v>-345126</v>
      </c>
      <c r="K8" s="129">
        <v>-484734</v>
      </c>
      <c r="L8" s="129">
        <v>-112832</v>
      </c>
      <c r="M8" s="129">
        <v>-177327</v>
      </c>
      <c r="N8" s="129">
        <v>-230351</v>
      </c>
      <c r="O8" s="129">
        <v>-251516</v>
      </c>
      <c r="P8" s="129">
        <v>-14995</v>
      </c>
      <c r="Q8" s="129">
        <v>-22850</v>
      </c>
      <c r="R8" s="129">
        <v>-29150</v>
      </c>
      <c r="S8" s="129">
        <v>-48696</v>
      </c>
      <c r="T8" s="129">
        <v>-49351</v>
      </c>
      <c r="U8" s="129">
        <v>-141429</v>
      </c>
      <c r="V8" s="129">
        <v>-346283</v>
      </c>
      <c r="W8" s="129">
        <v>-617779</v>
      </c>
      <c r="X8" s="129">
        <v>-283504</v>
      </c>
      <c r="Y8" s="129">
        <v>-543612</v>
      </c>
      <c r="Z8" s="129">
        <v>-790207</v>
      </c>
      <c r="AA8" s="129">
        <v>-1023248</v>
      </c>
      <c r="AB8" s="129">
        <v>-227264</v>
      </c>
    </row>
    <row r="9" spans="2:28" ht="13" customHeight="1">
      <c r="B9" s="126" t="s">
        <v>352</v>
      </c>
      <c r="C9" s="126" t="s">
        <v>353</v>
      </c>
      <c r="D9" s="127">
        <f t="shared" ref="D9:N9" si="6">D10+D11</f>
        <v>29306</v>
      </c>
      <c r="E9" s="127">
        <f t="shared" si="6"/>
        <v>60261</v>
      </c>
      <c r="F9" s="127">
        <f t="shared" si="6"/>
        <v>113708</v>
      </c>
      <c r="G9" s="127">
        <f t="shared" si="6"/>
        <v>10820</v>
      </c>
      <c r="H9" s="127">
        <f t="shared" si="6"/>
        <v>28460</v>
      </c>
      <c r="I9" s="127">
        <f t="shared" si="6"/>
        <v>59568</v>
      </c>
      <c r="J9" s="127">
        <f t="shared" si="6"/>
        <v>88879</v>
      </c>
      <c r="K9" s="127">
        <f t="shared" si="6"/>
        <v>142553</v>
      </c>
      <c r="L9" s="127">
        <f t="shared" si="6"/>
        <v>26434</v>
      </c>
      <c r="M9" s="127">
        <f t="shared" si="6"/>
        <v>25320</v>
      </c>
      <c r="N9" s="127">
        <f t="shared" si="6"/>
        <v>32845</v>
      </c>
      <c r="O9" s="127">
        <f>O10+O11</f>
        <v>37523</v>
      </c>
      <c r="P9" s="127">
        <f>P10+P11</f>
        <v>2428</v>
      </c>
      <c r="Q9" s="127">
        <f>Q10+Q11</f>
        <v>18042</v>
      </c>
      <c r="R9" s="127">
        <f>R10+R11</f>
        <v>23678</v>
      </c>
      <c r="S9" s="127">
        <v>87801</v>
      </c>
      <c r="T9" s="127">
        <f t="shared" ref="T9:Y9" si="7">T10+T11</f>
        <v>39666</v>
      </c>
      <c r="U9" s="127">
        <f t="shared" si="7"/>
        <v>135569</v>
      </c>
      <c r="V9" s="127">
        <f t="shared" si="7"/>
        <v>257385</v>
      </c>
      <c r="W9" s="127">
        <f t="shared" si="7"/>
        <v>399603</v>
      </c>
      <c r="X9" s="127">
        <f t="shared" si="7"/>
        <v>25905</v>
      </c>
      <c r="Y9" s="127">
        <f t="shared" si="7"/>
        <v>94074</v>
      </c>
      <c r="Z9" s="127">
        <f t="shared" ref="Z9:AA9" si="8">Z10+Z11</f>
        <v>165402</v>
      </c>
      <c r="AA9" s="127">
        <f t="shared" si="8"/>
        <v>241470</v>
      </c>
      <c r="AB9" s="127">
        <f t="shared" ref="AB9" si="9">AB10+AB11</f>
        <v>70013</v>
      </c>
    </row>
    <row r="10" spans="2:28" ht="13" customHeight="1">
      <c r="B10" s="128" t="s">
        <v>354</v>
      </c>
      <c r="C10" s="128" t="s">
        <v>355</v>
      </c>
      <c r="D10" s="129">
        <v>255913</v>
      </c>
      <c r="E10" s="129">
        <v>521940</v>
      </c>
      <c r="F10" s="129">
        <v>813312</v>
      </c>
      <c r="G10" s="129">
        <v>881571</v>
      </c>
      <c r="H10" s="129">
        <v>251703</v>
      </c>
      <c r="I10" s="129">
        <v>511873</v>
      </c>
      <c r="J10" s="129">
        <v>774845</v>
      </c>
      <c r="K10" s="129">
        <v>1065874</v>
      </c>
      <c r="L10" s="129">
        <v>263746</v>
      </c>
      <c r="M10" s="129">
        <v>416203</v>
      </c>
      <c r="N10" s="129">
        <v>544104</v>
      </c>
      <c r="O10" s="129">
        <v>659380</v>
      </c>
      <c r="P10" s="129">
        <v>108307</v>
      </c>
      <c r="Q10" s="129">
        <v>188538</v>
      </c>
      <c r="R10" s="129">
        <v>281431</v>
      </c>
      <c r="S10" s="129">
        <v>476824</v>
      </c>
      <c r="T10" s="129">
        <v>311796</v>
      </c>
      <c r="U10" s="129">
        <v>865796</v>
      </c>
      <c r="V10" s="129">
        <v>1600185</v>
      </c>
      <c r="W10" s="129">
        <v>2391115</v>
      </c>
      <c r="X10" s="129">
        <v>632309</v>
      </c>
      <c r="Y10" s="129">
        <v>1305114</v>
      </c>
      <c r="Z10" s="129">
        <v>1987924</v>
      </c>
      <c r="AA10" s="129">
        <v>2642511</v>
      </c>
      <c r="AB10" s="129">
        <v>653861</v>
      </c>
    </row>
    <row r="11" spans="2:28" ht="13" customHeight="1">
      <c r="B11" s="128" t="s">
        <v>356</v>
      </c>
      <c r="C11" s="128" t="s">
        <v>357</v>
      </c>
      <c r="D11" s="129">
        <v>-226607</v>
      </c>
      <c r="E11" s="129">
        <v>-461679</v>
      </c>
      <c r="F11" s="129">
        <v>-699604</v>
      </c>
      <c r="G11" s="129">
        <v>-870751</v>
      </c>
      <c r="H11" s="129">
        <v>-223243</v>
      </c>
      <c r="I11" s="129">
        <v>-452305</v>
      </c>
      <c r="J11" s="129">
        <v>-685966</v>
      </c>
      <c r="K11" s="129">
        <v>-923321</v>
      </c>
      <c r="L11" s="129">
        <v>-237312</v>
      </c>
      <c r="M11" s="129">
        <v>-390883</v>
      </c>
      <c r="N11" s="129">
        <v>-511259</v>
      </c>
      <c r="O11" s="129">
        <v>-621857</v>
      </c>
      <c r="P11" s="129">
        <v>-105879</v>
      </c>
      <c r="Q11" s="129">
        <v>-170496</v>
      </c>
      <c r="R11" s="129">
        <v>-257753</v>
      </c>
      <c r="S11" s="129">
        <v>-389023</v>
      </c>
      <c r="T11" s="129">
        <v>-272130</v>
      </c>
      <c r="U11" s="129">
        <v>-730227</v>
      </c>
      <c r="V11" s="129">
        <v>-1342800</v>
      </c>
      <c r="W11" s="129">
        <v>-1991512</v>
      </c>
      <c r="X11" s="129">
        <v>-606404</v>
      </c>
      <c r="Y11" s="129">
        <v>-1211040</v>
      </c>
      <c r="Z11" s="129">
        <v>-1822522</v>
      </c>
      <c r="AA11" s="129">
        <v>-2401041</v>
      </c>
      <c r="AB11" s="129">
        <v>-583848</v>
      </c>
    </row>
    <row r="12" spans="2:28" ht="13" customHeight="1">
      <c r="B12" s="126" t="s">
        <v>198</v>
      </c>
      <c r="C12" s="126" t="s">
        <v>1</v>
      </c>
      <c r="D12" s="127">
        <f t="shared" ref="D12:N12" si="10">D5+D9</f>
        <v>483105</v>
      </c>
      <c r="E12" s="127">
        <f t="shared" si="10"/>
        <v>1000163</v>
      </c>
      <c r="F12" s="127">
        <f t="shared" si="10"/>
        <v>1541474</v>
      </c>
      <c r="G12" s="127">
        <f t="shared" si="10"/>
        <v>1922381</v>
      </c>
      <c r="H12" s="127">
        <f t="shared" si="10"/>
        <v>513669</v>
      </c>
      <c r="I12" s="127">
        <f t="shared" si="10"/>
        <v>1051774</v>
      </c>
      <c r="J12" s="127">
        <f t="shared" si="10"/>
        <v>1577151</v>
      </c>
      <c r="K12" s="127">
        <f t="shared" si="10"/>
        <v>1981519</v>
      </c>
      <c r="L12" s="127">
        <f t="shared" si="10"/>
        <v>469048</v>
      </c>
      <c r="M12" s="127">
        <f t="shared" si="10"/>
        <v>881042</v>
      </c>
      <c r="N12" s="127">
        <f t="shared" si="10"/>
        <v>1301056</v>
      </c>
      <c r="O12" s="127">
        <f t="shared" ref="O12:T12" si="11">O5+O9</f>
        <v>1710355</v>
      </c>
      <c r="P12" s="127">
        <f t="shared" si="11"/>
        <v>423073</v>
      </c>
      <c r="Q12" s="127">
        <f t="shared" si="11"/>
        <v>860222</v>
      </c>
      <c r="R12" s="127">
        <f t="shared" si="11"/>
        <v>1325074</v>
      </c>
      <c r="S12" s="127">
        <f t="shared" si="11"/>
        <v>1887367</v>
      </c>
      <c r="T12" s="127">
        <f t="shared" si="11"/>
        <v>621954</v>
      </c>
      <c r="U12" s="127">
        <f t="shared" ref="U12:V12" si="12">U5+U9</f>
        <v>1405863</v>
      </c>
      <c r="V12" s="127">
        <f t="shared" si="12"/>
        <v>1706281</v>
      </c>
      <c r="W12" s="127">
        <f t="shared" ref="W12:X12" si="13">W5+W9</f>
        <v>2530451</v>
      </c>
      <c r="X12" s="127">
        <f t="shared" si="13"/>
        <v>640571</v>
      </c>
      <c r="Y12" s="127">
        <f t="shared" ref="Y12:AA12" si="14">Y5+Y9</f>
        <v>1375238</v>
      </c>
      <c r="Z12" s="127">
        <f t="shared" si="14"/>
        <v>2150338</v>
      </c>
      <c r="AA12" s="127">
        <f t="shared" si="14"/>
        <v>2951849</v>
      </c>
      <c r="AB12" s="127">
        <f t="shared" ref="AB12" si="15">AB5+AB9</f>
        <v>761355</v>
      </c>
    </row>
    <row r="13" spans="2:28" ht="13" customHeight="1">
      <c r="B13" s="128" t="s">
        <v>199</v>
      </c>
      <c r="C13" s="128" t="s">
        <v>358</v>
      </c>
      <c r="D13" s="129">
        <v>115214</v>
      </c>
      <c r="E13" s="129">
        <v>226043</v>
      </c>
      <c r="F13" s="129">
        <v>343772</v>
      </c>
      <c r="G13" s="129">
        <v>454745</v>
      </c>
      <c r="H13" s="129">
        <v>100655</v>
      </c>
      <c r="I13" s="129">
        <v>201941</v>
      </c>
      <c r="J13" s="129">
        <v>309753</v>
      </c>
      <c r="K13" s="129">
        <v>415511</v>
      </c>
      <c r="L13" s="129">
        <v>108053</v>
      </c>
      <c r="M13" s="129">
        <v>213801</v>
      </c>
      <c r="N13" s="129">
        <v>333487</v>
      </c>
      <c r="O13" s="129">
        <v>444244</v>
      </c>
      <c r="P13" s="129">
        <v>110007</v>
      </c>
      <c r="Q13" s="129">
        <v>222224</v>
      </c>
      <c r="R13" s="129">
        <v>341813</v>
      </c>
      <c r="S13" s="129">
        <v>457081.98863000004</v>
      </c>
      <c r="T13" s="129">
        <v>118871</v>
      </c>
      <c r="U13" s="129">
        <v>239811</v>
      </c>
      <c r="V13" s="129">
        <v>357705</v>
      </c>
      <c r="W13" s="129">
        <v>462068</v>
      </c>
      <c r="X13" s="129">
        <v>111389</v>
      </c>
      <c r="Y13" s="129">
        <v>229677</v>
      </c>
      <c r="Z13" s="129">
        <v>352572</v>
      </c>
      <c r="AA13" s="129">
        <v>475161</v>
      </c>
      <c r="AB13" s="129">
        <v>120579</v>
      </c>
    </row>
    <row r="14" spans="2:28" ht="13" customHeight="1">
      <c r="B14" s="128" t="s">
        <v>200</v>
      </c>
      <c r="C14" s="128" t="s">
        <v>359</v>
      </c>
      <c r="D14" s="129">
        <v>-40658</v>
      </c>
      <c r="E14" s="129">
        <v>-85950</v>
      </c>
      <c r="F14" s="129">
        <v>-130450</v>
      </c>
      <c r="G14" s="129">
        <v>-174023</v>
      </c>
      <c r="H14" s="129">
        <v>-41223</v>
      </c>
      <c r="I14" s="129">
        <v>-88353</v>
      </c>
      <c r="J14" s="129">
        <v>-137448</v>
      </c>
      <c r="K14" s="129">
        <v>-195115</v>
      </c>
      <c r="L14" s="129">
        <v>-51458</v>
      </c>
      <c r="M14" s="129">
        <v>-108487</v>
      </c>
      <c r="N14" s="129">
        <v>-159666</v>
      </c>
      <c r="O14" s="129">
        <v>-207278</v>
      </c>
      <c r="P14" s="129">
        <v>-47133</v>
      </c>
      <c r="Q14" s="129">
        <v>-95186</v>
      </c>
      <c r="R14" s="129">
        <v>-145396</v>
      </c>
      <c r="S14" s="129">
        <v>-192838</v>
      </c>
      <c r="T14" s="129">
        <v>-48059</v>
      </c>
      <c r="U14" s="129">
        <v>-95182</v>
      </c>
      <c r="V14" s="129">
        <v>-143860</v>
      </c>
      <c r="W14" s="129">
        <v>-185392</v>
      </c>
      <c r="X14" s="129">
        <v>-46297</v>
      </c>
      <c r="Y14" s="129">
        <v>-98397</v>
      </c>
      <c r="Z14" s="129">
        <v>-148470</v>
      </c>
      <c r="AA14" s="129">
        <v>-190971</v>
      </c>
      <c r="AB14" s="129">
        <v>-50592</v>
      </c>
    </row>
    <row r="15" spans="2:28" ht="13" customHeight="1">
      <c r="B15" s="126" t="s">
        <v>201</v>
      </c>
      <c r="C15" s="126" t="s">
        <v>12</v>
      </c>
      <c r="D15" s="127">
        <f t="shared" ref="D15:N15" si="16">D13+D14</f>
        <v>74556</v>
      </c>
      <c r="E15" s="127">
        <f t="shared" si="16"/>
        <v>140093</v>
      </c>
      <c r="F15" s="127">
        <f t="shared" si="16"/>
        <v>213322</v>
      </c>
      <c r="G15" s="127">
        <f t="shared" si="16"/>
        <v>280722</v>
      </c>
      <c r="H15" s="127">
        <f t="shared" si="16"/>
        <v>59432</v>
      </c>
      <c r="I15" s="127">
        <f t="shared" si="16"/>
        <v>113588</v>
      </c>
      <c r="J15" s="127">
        <f t="shared" si="16"/>
        <v>172305</v>
      </c>
      <c r="K15" s="127">
        <f t="shared" si="16"/>
        <v>220396</v>
      </c>
      <c r="L15" s="127">
        <f t="shared" si="16"/>
        <v>56595</v>
      </c>
      <c r="M15" s="127">
        <f t="shared" si="16"/>
        <v>105314</v>
      </c>
      <c r="N15" s="127">
        <f t="shared" si="16"/>
        <v>173821</v>
      </c>
      <c r="O15" s="127">
        <f t="shared" ref="O15:T15" si="17">O13+O14</f>
        <v>236966</v>
      </c>
      <c r="P15" s="127">
        <f t="shared" si="17"/>
        <v>62874</v>
      </c>
      <c r="Q15" s="127">
        <f t="shared" si="17"/>
        <v>127038</v>
      </c>
      <c r="R15" s="127">
        <f t="shared" si="17"/>
        <v>196417</v>
      </c>
      <c r="S15" s="127">
        <f t="shared" si="17"/>
        <v>264243.98863000004</v>
      </c>
      <c r="T15" s="127">
        <f t="shared" si="17"/>
        <v>70812</v>
      </c>
      <c r="U15" s="127">
        <f t="shared" ref="U15:V15" si="18">U13+U14</f>
        <v>144629</v>
      </c>
      <c r="V15" s="127">
        <f t="shared" si="18"/>
        <v>213845</v>
      </c>
      <c r="W15" s="127">
        <f t="shared" ref="W15:X15" si="19">W13+W14</f>
        <v>276676</v>
      </c>
      <c r="X15" s="127">
        <f t="shared" si="19"/>
        <v>65092</v>
      </c>
      <c r="Y15" s="127">
        <f t="shared" ref="Y15:AA15" si="20">Y13+Y14</f>
        <v>131280</v>
      </c>
      <c r="Z15" s="127">
        <f t="shared" si="20"/>
        <v>204102</v>
      </c>
      <c r="AA15" s="127">
        <f t="shared" si="20"/>
        <v>284190</v>
      </c>
      <c r="AB15" s="127">
        <f t="shared" ref="AB15" si="21">AB13+AB14</f>
        <v>69987</v>
      </c>
    </row>
    <row r="16" spans="2:28" ht="13" customHeight="1">
      <c r="B16" s="128" t="s">
        <v>202</v>
      </c>
      <c r="C16" s="128" t="s">
        <v>2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29">
        <v>0</v>
      </c>
      <c r="AA16" s="129">
        <v>0</v>
      </c>
      <c r="AB16" s="129">
        <v>0</v>
      </c>
    </row>
    <row r="17" spans="2:28" ht="13" customHeight="1">
      <c r="B17" s="128" t="s">
        <v>203</v>
      </c>
      <c r="C17" s="128" t="s">
        <v>16</v>
      </c>
      <c r="D17" s="129">
        <v>1122</v>
      </c>
      <c r="E17" s="129">
        <v>2481</v>
      </c>
      <c r="F17" s="129">
        <v>3652</v>
      </c>
      <c r="G17" s="129">
        <v>4770</v>
      </c>
      <c r="H17" s="129">
        <v>1481</v>
      </c>
      <c r="I17" s="129">
        <v>2851</v>
      </c>
      <c r="J17" s="129">
        <v>4355</v>
      </c>
      <c r="K17" s="129">
        <v>5716</v>
      </c>
      <c r="L17" s="129">
        <v>1058</v>
      </c>
      <c r="M17" s="129">
        <v>599</v>
      </c>
      <c r="N17" s="129">
        <v>914</v>
      </c>
      <c r="O17" s="129">
        <v>2943</v>
      </c>
      <c r="P17" s="128">
        <v>369</v>
      </c>
      <c r="Q17" s="129">
        <v>1849</v>
      </c>
      <c r="R17" s="129">
        <v>2196</v>
      </c>
      <c r="S17" s="129">
        <v>3836</v>
      </c>
      <c r="T17" s="128">
        <v>72</v>
      </c>
      <c r="U17" s="129">
        <v>278</v>
      </c>
      <c r="V17" s="129">
        <v>460</v>
      </c>
      <c r="W17" s="129">
        <v>8316</v>
      </c>
      <c r="X17" s="129">
        <v>162</v>
      </c>
      <c r="Y17" s="129">
        <v>5</v>
      </c>
      <c r="Z17" s="129">
        <v>240</v>
      </c>
      <c r="AA17" s="129">
        <v>394</v>
      </c>
      <c r="AB17" s="129">
        <v>48</v>
      </c>
    </row>
    <row r="18" spans="2:28" s="105" customFormat="1" ht="13" customHeight="1">
      <c r="B18" s="126" t="s">
        <v>204</v>
      </c>
      <c r="C18" s="126" t="s">
        <v>360</v>
      </c>
      <c r="D18" s="127">
        <f t="shared" ref="D18:N18" si="22">D19+D20</f>
        <v>0</v>
      </c>
      <c r="E18" s="127">
        <f t="shared" si="22"/>
        <v>0</v>
      </c>
      <c r="F18" s="127">
        <f t="shared" si="22"/>
        <v>0</v>
      </c>
      <c r="G18" s="127">
        <f t="shared" si="22"/>
        <v>0</v>
      </c>
      <c r="H18" s="127">
        <f t="shared" si="22"/>
        <v>0</v>
      </c>
      <c r="I18" s="127">
        <f t="shared" si="22"/>
        <v>0</v>
      </c>
      <c r="J18" s="127">
        <f t="shared" si="22"/>
        <v>0</v>
      </c>
      <c r="K18" s="126">
        <f t="shared" si="22"/>
        <v>0</v>
      </c>
      <c r="L18" s="126">
        <f t="shared" si="22"/>
        <v>0</v>
      </c>
      <c r="M18" s="127">
        <f t="shared" si="22"/>
        <v>0</v>
      </c>
      <c r="N18" s="127">
        <f t="shared" si="22"/>
        <v>0</v>
      </c>
      <c r="O18" s="126">
        <f t="shared" ref="O18:T18" si="23">O19+O20</f>
        <v>0</v>
      </c>
      <c r="P18" s="126">
        <f t="shared" si="23"/>
        <v>0</v>
      </c>
      <c r="Q18" s="127">
        <f t="shared" si="23"/>
        <v>0</v>
      </c>
      <c r="R18" s="127">
        <f t="shared" si="23"/>
        <v>0</v>
      </c>
      <c r="S18" s="127">
        <f t="shared" si="23"/>
        <v>0</v>
      </c>
      <c r="T18" s="126">
        <f t="shared" si="23"/>
        <v>0</v>
      </c>
      <c r="U18" s="127">
        <f t="shared" ref="U18:X18" si="24">U19+U20</f>
        <v>0</v>
      </c>
      <c r="V18" s="127">
        <f t="shared" si="24"/>
        <v>0</v>
      </c>
      <c r="W18" s="127">
        <f t="shared" si="24"/>
        <v>0</v>
      </c>
      <c r="X18" s="127">
        <f t="shared" si="24"/>
        <v>0</v>
      </c>
      <c r="Y18" s="127">
        <f t="shared" ref="Y18:AA18" si="25">Y19+Y20</f>
        <v>0</v>
      </c>
      <c r="Z18" s="127">
        <f t="shared" si="25"/>
        <v>0</v>
      </c>
      <c r="AA18" s="127">
        <f t="shared" si="25"/>
        <v>0</v>
      </c>
      <c r="AB18" s="127">
        <f t="shared" ref="AB18" si="26">AB19+AB20</f>
        <v>0</v>
      </c>
    </row>
    <row r="19" spans="2:28" ht="13" customHeight="1">
      <c r="B19" s="128" t="s">
        <v>205</v>
      </c>
      <c r="C19" s="128" t="s">
        <v>361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8">
        <v>0</v>
      </c>
      <c r="Q19" s="129">
        <v>0</v>
      </c>
      <c r="R19" s="129">
        <v>0</v>
      </c>
      <c r="S19" s="129">
        <v>0</v>
      </c>
      <c r="T19" s="128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29">
        <v>0</v>
      </c>
      <c r="AA19" s="129">
        <v>0</v>
      </c>
      <c r="AB19" s="129">
        <v>0</v>
      </c>
    </row>
    <row r="20" spans="2:28" ht="13" customHeight="1">
      <c r="B20" s="128" t="s">
        <v>206</v>
      </c>
      <c r="C20" s="128" t="s">
        <v>14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8">
        <v>0</v>
      </c>
      <c r="Q20" s="129">
        <v>0</v>
      </c>
      <c r="R20" s="129">
        <v>0</v>
      </c>
      <c r="S20" s="129">
        <v>0</v>
      </c>
      <c r="T20" s="128">
        <v>0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29">
        <v>0</v>
      </c>
      <c r="AA20" s="129">
        <v>0</v>
      </c>
      <c r="AB20" s="129">
        <v>0</v>
      </c>
    </row>
    <row r="21" spans="2:28" ht="13" customHeight="1">
      <c r="B21" s="128" t="s">
        <v>207</v>
      </c>
      <c r="C21" s="128" t="s">
        <v>6</v>
      </c>
      <c r="D21" s="129">
        <v>34910</v>
      </c>
      <c r="E21" s="129">
        <v>74203</v>
      </c>
      <c r="F21" s="129">
        <v>75027</v>
      </c>
      <c r="G21" s="129">
        <v>98380</v>
      </c>
      <c r="H21" s="129">
        <v>30071</v>
      </c>
      <c r="I21" s="129">
        <v>56018</v>
      </c>
      <c r="J21" s="129">
        <v>86582</v>
      </c>
      <c r="K21" s="129">
        <v>118818</v>
      </c>
      <c r="L21" s="129">
        <v>31428</v>
      </c>
      <c r="M21" s="129">
        <v>47368</v>
      </c>
      <c r="N21" s="129">
        <v>73267</v>
      </c>
      <c r="O21" s="129">
        <v>102790</v>
      </c>
      <c r="P21" s="129">
        <v>35510</v>
      </c>
      <c r="Q21" s="129">
        <v>58197</v>
      </c>
      <c r="R21" s="129">
        <v>84113</v>
      </c>
      <c r="S21" s="129">
        <v>111711</v>
      </c>
      <c r="T21" s="129">
        <v>25882</v>
      </c>
      <c r="U21" s="129">
        <v>47952</v>
      </c>
      <c r="V21" s="129">
        <v>65821</v>
      </c>
      <c r="W21" s="129">
        <v>79496</v>
      </c>
      <c r="X21" s="129">
        <v>20003</v>
      </c>
      <c r="Y21" s="129">
        <v>39974</v>
      </c>
      <c r="Z21" s="129">
        <v>59867</v>
      </c>
      <c r="AA21" s="129">
        <v>103742</v>
      </c>
      <c r="AB21" s="129">
        <v>25818</v>
      </c>
    </row>
    <row r="22" spans="2:28" ht="13" customHeight="1">
      <c r="B22" s="128" t="s">
        <v>362</v>
      </c>
      <c r="C22" s="128" t="s">
        <v>7</v>
      </c>
      <c r="D22" s="129">
        <v>-15555</v>
      </c>
      <c r="E22" s="129">
        <v>-33978</v>
      </c>
      <c r="F22" s="129">
        <v>-64714</v>
      </c>
      <c r="G22" s="129">
        <v>-116212</v>
      </c>
      <c r="H22" s="129">
        <v>-15727</v>
      </c>
      <c r="I22" s="129">
        <v>-36440</v>
      </c>
      <c r="J22" s="129">
        <v>-99235</v>
      </c>
      <c r="K22" s="129">
        <v>-301689</v>
      </c>
      <c r="L22" s="129">
        <v>-16651</v>
      </c>
      <c r="M22" s="129">
        <v>-131662</v>
      </c>
      <c r="N22" s="129">
        <v>-144478</v>
      </c>
      <c r="O22" s="129">
        <v>-197485</v>
      </c>
      <c r="P22" s="129">
        <v>-15993</v>
      </c>
      <c r="Q22" s="129">
        <v>-34061</v>
      </c>
      <c r="R22" s="129">
        <v>-68769</v>
      </c>
      <c r="S22" s="129">
        <v>-138508</v>
      </c>
      <c r="T22" s="129">
        <v>-23741</v>
      </c>
      <c r="U22" s="129">
        <v>-39101</v>
      </c>
      <c r="V22" s="129">
        <v>-56859</v>
      </c>
      <c r="W22" s="129">
        <v>-97221</v>
      </c>
      <c r="X22" s="129">
        <v>-21159</v>
      </c>
      <c r="Y22" s="129">
        <v>-44202</v>
      </c>
      <c r="Z22" s="129">
        <v>-63697</v>
      </c>
      <c r="AA22" s="129">
        <v>-168322</v>
      </c>
      <c r="AB22" s="129">
        <v>-22896</v>
      </c>
    </row>
    <row r="23" spans="2:28" ht="13" customHeight="1">
      <c r="B23" s="126" t="s">
        <v>363</v>
      </c>
      <c r="C23" s="126" t="s">
        <v>8</v>
      </c>
      <c r="D23" s="127">
        <f t="shared" ref="D23:N23" si="27">D21+D22</f>
        <v>19355</v>
      </c>
      <c r="E23" s="127">
        <f t="shared" si="27"/>
        <v>40225</v>
      </c>
      <c r="F23" s="127">
        <f t="shared" si="27"/>
        <v>10313</v>
      </c>
      <c r="G23" s="127">
        <f t="shared" si="27"/>
        <v>-17832</v>
      </c>
      <c r="H23" s="127">
        <f t="shared" si="27"/>
        <v>14344</v>
      </c>
      <c r="I23" s="127">
        <f t="shared" si="27"/>
        <v>19578</v>
      </c>
      <c r="J23" s="127">
        <f t="shared" si="27"/>
        <v>-12653</v>
      </c>
      <c r="K23" s="127">
        <f t="shared" si="27"/>
        <v>-182871</v>
      </c>
      <c r="L23" s="127">
        <f t="shared" si="27"/>
        <v>14777</v>
      </c>
      <c r="M23" s="127">
        <f t="shared" si="27"/>
        <v>-84294</v>
      </c>
      <c r="N23" s="127">
        <f t="shared" si="27"/>
        <v>-71211</v>
      </c>
      <c r="O23" s="127">
        <f>O21+O22</f>
        <v>-94695</v>
      </c>
      <c r="P23" s="127">
        <f>P21+P22</f>
        <v>19517</v>
      </c>
      <c r="Q23" s="127">
        <f>Q21+Q22</f>
        <v>24136</v>
      </c>
      <c r="R23" s="127">
        <f>R21+R22</f>
        <v>15344</v>
      </c>
      <c r="S23" s="127">
        <f>S21+S22</f>
        <v>-26797</v>
      </c>
      <c r="T23" s="127">
        <v>2141</v>
      </c>
      <c r="U23" s="127">
        <f t="shared" ref="U23:Z23" si="28">U21+U22</f>
        <v>8851</v>
      </c>
      <c r="V23" s="127">
        <f t="shared" si="28"/>
        <v>8962</v>
      </c>
      <c r="W23" s="127">
        <f t="shared" si="28"/>
        <v>-17725</v>
      </c>
      <c r="X23" s="127">
        <f t="shared" si="28"/>
        <v>-1156</v>
      </c>
      <c r="Y23" s="127">
        <f t="shared" si="28"/>
        <v>-4228</v>
      </c>
      <c r="Z23" s="127">
        <f t="shared" si="28"/>
        <v>-3830</v>
      </c>
      <c r="AA23" s="127">
        <f t="shared" ref="AA23:AB23" si="29">AA21+AA22</f>
        <v>-64580</v>
      </c>
      <c r="AB23" s="127">
        <f t="shared" si="29"/>
        <v>2922</v>
      </c>
    </row>
    <row r="24" spans="2:28" ht="13" customHeight="1">
      <c r="B24" s="130" t="s">
        <v>518</v>
      </c>
      <c r="C24" s="126" t="s">
        <v>514</v>
      </c>
      <c r="D24" s="127">
        <f>D12+D15+D18+D23+D17</f>
        <v>578138</v>
      </c>
      <c r="E24" s="127">
        <f t="shared" ref="E24:O24" si="30">E12+E15+E18+E23+E17+E16</f>
        <v>1182962</v>
      </c>
      <c r="F24" s="127">
        <f t="shared" si="30"/>
        <v>1768761</v>
      </c>
      <c r="G24" s="127">
        <f t="shared" si="30"/>
        <v>2190041</v>
      </c>
      <c r="H24" s="127">
        <f t="shared" si="30"/>
        <v>588926</v>
      </c>
      <c r="I24" s="127">
        <f t="shared" si="30"/>
        <v>1187791</v>
      </c>
      <c r="J24" s="127">
        <f t="shared" si="30"/>
        <v>1741158</v>
      </c>
      <c r="K24" s="127">
        <f t="shared" si="30"/>
        <v>2024760</v>
      </c>
      <c r="L24" s="127">
        <f t="shared" si="30"/>
        <v>541478</v>
      </c>
      <c r="M24" s="127">
        <f t="shared" si="30"/>
        <v>902661</v>
      </c>
      <c r="N24" s="127">
        <f t="shared" si="30"/>
        <v>1404580</v>
      </c>
      <c r="O24" s="127">
        <f t="shared" si="30"/>
        <v>1855569</v>
      </c>
      <c r="P24" s="127">
        <f t="shared" ref="P24:U24" si="31">P12+P15+P18+P23+P17+P16</f>
        <v>505833</v>
      </c>
      <c r="Q24" s="127">
        <f t="shared" si="31"/>
        <v>1013245</v>
      </c>
      <c r="R24" s="127">
        <f t="shared" si="31"/>
        <v>1539031</v>
      </c>
      <c r="S24" s="127">
        <f t="shared" si="31"/>
        <v>2128649.98863</v>
      </c>
      <c r="T24" s="127">
        <f t="shared" si="31"/>
        <v>694979</v>
      </c>
      <c r="U24" s="127">
        <f t="shared" si="31"/>
        <v>1559621</v>
      </c>
      <c r="V24" s="127">
        <f t="shared" ref="V24:W24" si="32">V12+V15+V18+V23+V17+V16</f>
        <v>1929548</v>
      </c>
      <c r="W24" s="127">
        <f t="shared" si="32"/>
        <v>2797718</v>
      </c>
      <c r="X24" s="127">
        <f t="shared" ref="X24:Y24" si="33">X12+X15+X18+X23+X17+X16</f>
        <v>704669</v>
      </c>
      <c r="Y24" s="127">
        <f t="shared" si="33"/>
        <v>1502295</v>
      </c>
      <c r="Z24" s="127">
        <f t="shared" ref="Z24:AA24" si="34">Z12+Z15+Z18+Z23+Z17+Z16</f>
        <v>2350850</v>
      </c>
      <c r="AA24" s="127">
        <f t="shared" si="34"/>
        <v>3171853</v>
      </c>
      <c r="AB24" s="127">
        <f t="shared" ref="AB24" si="35">AB12+AB15+AB18+AB23+AB17+AB16</f>
        <v>834312</v>
      </c>
    </row>
    <row r="25" spans="2:28" ht="13" customHeight="1">
      <c r="B25" s="128" t="s">
        <v>340</v>
      </c>
      <c r="C25" s="128" t="s">
        <v>638</v>
      </c>
      <c r="D25" s="129">
        <v>-136789</v>
      </c>
      <c r="E25" s="129">
        <v>-229482</v>
      </c>
      <c r="F25" s="129">
        <v>-354646</v>
      </c>
      <c r="G25" s="129">
        <v>-418713.51863854355</v>
      </c>
      <c r="H25" s="129">
        <v>-99164</v>
      </c>
      <c r="I25" s="129">
        <v>-226394</v>
      </c>
      <c r="J25" s="129">
        <v>-371687</v>
      </c>
      <c r="K25" s="129">
        <v>-515458</v>
      </c>
      <c r="L25" s="129">
        <v>-144978</v>
      </c>
      <c r="M25" s="129">
        <v>-412759</v>
      </c>
      <c r="N25" s="129">
        <v>-573455</v>
      </c>
      <c r="O25" s="129">
        <v>-715996</v>
      </c>
      <c r="P25" s="129">
        <v>-103082</v>
      </c>
      <c r="Q25" s="129">
        <v>-177240</v>
      </c>
      <c r="R25" s="129">
        <v>-273871</v>
      </c>
      <c r="S25" s="129">
        <v>-293339</v>
      </c>
      <c r="T25" s="129">
        <v>-110499</v>
      </c>
      <c r="U25" s="129">
        <v>-230591</v>
      </c>
      <c r="V25" s="129">
        <v>-415087</v>
      </c>
      <c r="W25" s="129">
        <v>-588907</v>
      </c>
      <c r="X25" s="129">
        <v>-156500</v>
      </c>
      <c r="Y25" s="129">
        <v>-233566</v>
      </c>
      <c r="Z25" s="129">
        <v>-339121</v>
      </c>
      <c r="AA25" s="129">
        <v>-325394</v>
      </c>
      <c r="AB25" s="129">
        <v>-79367</v>
      </c>
    </row>
    <row r="26" spans="2:28" ht="13" customHeight="1">
      <c r="B26" s="128" t="s">
        <v>364</v>
      </c>
      <c r="C26" s="128" t="s">
        <v>341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-64400</v>
      </c>
      <c r="N26" s="129">
        <v>-64400</v>
      </c>
      <c r="O26" s="129">
        <v>-104368</v>
      </c>
      <c r="P26" s="129">
        <v>0</v>
      </c>
      <c r="Q26" s="129">
        <v>0</v>
      </c>
      <c r="R26" s="129">
        <v>0</v>
      </c>
      <c r="S26" s="129">
        <v>-4947</v>
      </c>
      <c r="T26" s="129">
        <v>-30901</v>
      </c>
      <c r="U26" s="129">
        <v>-30901</v>
      </c>
      <c r="V26" s="129">
        <v>-30901</v>
      </c>
      <c r="W26" s="129">
        <v>-30901</v>
      </c>
      <c r="X26" s="129">
        <v>-182</v>
      </c>
      <c r="Y26" s="129">
        <v>-733</v>
      </c>
      <c r="Z26" s="129">
        <v>-883</v>
      </c>
      <c r="AA26" s="129">
        <v>-1717</v>
      </c>
      <c r="AB26" s="129">
        <v>-75</v>
      </c>
    </row>
    <row r="27" spans="2:28" ht="13" customHeight="1">
      <c r="B27" s="128" t="s">
        <v>464</v>
      </c>
      <c r="C27" s="128" t="s">
        <v>463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>
        <v>-311</v>
      </c>
      <c r="P27" s="129"/>
      <c r="Q27" s="129"/>
      <c r="R27" s="129"/>
      <c r="S27" s="129">
        <v>-21386</v>
      </c>
      <c r="T27" s="129">
        <v>-23197</v>
      </c>
      <c r="U27" s="129">
        <v>-24438</v>
      </c>
      <c r="V27" s="129">
        <v>-39562</v>
      </c>
      <c r="W27" s="129">
        <v>-83168</v>
      </c>
      <c r="X27" s="129">
        <v>-506</v>
      </c>
      <c r="Y27" s="129">
        <v>-2786</v>
      </c>
      <c r="Z27" s="129">
        <v>-8175</v>
      </c>
      <c r="AA27" s="129">
        <v>-53983</v>
      </c>
      <c r="AB27" s="129">
        <v>-1794</v>
      </c>
    </row>
    <row r="28" spans="2:28" ht="13" customHeight="1">
      <c r="B28" s="126" t="s">
        <v>519</v>
      </c>
      <c r="C28" s="126" t="s">
        <v>515</v>
      </c>
      <c r="D28" s="127">
        <f t="shared" ref="D28" si="36">D24+D25+D26+D27</f>
        <v>441349</v>
      </c>
      <c r="E28" s="127">
        <f t="shared" ref="E28" si="37">E24+E25+E26+E27</f>
        <v>953480</v>
      </c>
      <c r="F28" s="127">
        <f t="shared" ref="F28" si="38">F24+F25+F26+F27</f>
        <v>1414115</v>
      </c>
      <c r="G28" s="127">
        <f t="shared" ref="G28" si="39">G24+G25+G26+G27</f>
        <v>1771327.4813614564</v>
      </c>
      <c r="H28" s="127">
        <f t="shared" ref="H28" si="40">H24+H25+H26+H27</f>
        <v>489762</v>
      </c>
      <c r="I28" s="127">
        <f t="shared" ref="I28" si="41">I24+I25+I26+I27</f>
        <v>961397</v>
      </c>
      <c r="J28" s="127">
        <f t="shared" ref="J28" si="42">J24+J25+J26+J27</f>
        <v>1369471</v>
      </c>
      <c r="K28" s="127">
        <f t="shared" ref="K28" si="43">K24+K25+K26+K27</f>
        <v>1509302</v>
      </c>
      <c r="L28" s="127">
        <f t="shared" ref="L28" si="44">L24+L25+L26+L27</f>
        <v>396500</v>
      </c>
      <c r="M28" s="127">
        <f t="shared" ref="M28" si="45">M24+M25+M26+M27</f>
        <v>425502</v>
      </c>
      <c r="N28" s="127">
        <f t="shared" ref="N28:R28" si="46">N24+N25+N26+N27</f>
        <v>766725</v>
      </c>
      <c r="O28" s="127">
        <f t="shared" si="46"/>
        <v>1034894</v>
      </c>
      <c r="P28" s="127">
        <f t="shared" si="46"/>
        <v>402751</v>
      </c>
      <c r="Q28" s="127">
        <f t="shared" si="46"/>
        <v>836005</v>
      </c>
      <c r="R28" s="127">
        <f t="shared" si="46"/>
        <v>1265160</v>
      </c>
      <c r="S28" s="127">
        <f>S24+S25+S26+S27</f>
        <v>1808977.98863</v>
      </c>
      <c r="T28" s="127">
        <f t="shared" ref="T28:U28" si="47">T24+T25+T26+T27</f>
        <v>530382</v>
      </c>
      <c r="U28" s="127">
        <f t="shared" si="47"/>
        <v>1273691</v>
      </c>
      <c r="V28" s="127">
        <f t="shared" ref="V28:W28" si="48">V24+V25+V26+V27</f>
        <v>1443998</v>
      </c>
      <c r="W28" s="127">
        <f t="shared" si="48"/>
        <v>2094742</v>
      </c>
      <c r="X28" s="127">
        <f t="shared" ref="X28:Y28" si="49">X24+X25+X26+X27</f>
        <v>547481</v>
      </c>
      <c r="Y28" s="127">
        <f t="shared" si="49"/>
        <v>1265210</v>
      </c>
      <c r="Z28" s="127">
        <f t="shared" ref="Z28:AA28" si="50">Z24+Z25+Z26+Z27</f>
        <v>2002671</v>
      </c>
      <c r="AA28" s="127">
        <f t="shared" si="50"/>
        <v>2790759</v>
      </c>
      <c r="AB28" s="127">
        <f t="shared" ref="AB28" si="51">AB24+AB25+AB26+AB27</f>
        <v>753076</v>
      </c>
    </row>
    <row r="29" spans="2:28" ht="13" customHeight="1">
      <c r="B29" s="128" t="s">
        <v>210</v>
      </c>
      <c r="C29" s="128" t="s">
        <v>319</v>
      </c>
      <c r="D29" s="129">
        <v>-371916</v>
      </c>
      <c r="E29" s="129">
        <v>-724004</v>
      </c>
      <c r="F29" s="129">
        <v>-1069568</v>
      </c>
      <c r="G29" s="129">
        <v>-1408577</v>
      </c>
      <c r="H29" s="129">
        <v>-390657</v>
      </c>
      <c r="I29" s="129">
        <v>-690771</v>
      </c>
      <c r="J29" s="129">
        <v>-984902</v>
      </c>
      <c r="K29" s="129">
        <v>-1260106</v>
      </c>
      <c r="L29" s="129">
        <v>-348012</v>
      </c>
      <c r="M29" s="129">
        <v>-646056</v>
      </c>
      <c r="N29" s="129">
        <v>-963223</v>
      </c>
      <c r="O29" s="129">
        <v>-1257395</v>
      </c>
      <c r="P29" s="129">
        <v>-326496</v>
      </c>
      <c r="Q29" s="129">
        <v>-639766</v>
      </c>
      <c r="R29" s="129">
        <v>-981600</v>
      </c>
      <c r="S29" s="129">
        <v>-1320748</v>
      </c>
      <c r="T29" s="129">
        <v>-395505</v>
      </c>
      <c r="U29" s="129">
        <v>-875303</v>
      </c>
      <c r="V29" s="129">
        <v>-1251296</v>
      </c>
      <c r="W29" s="129">
        <v>-1607202</v>
      </c>
      <c r="X29" s="129">
        <v>-402595</v>
      </c>
      <c r="Y29" s="129">
        <v>-802842</v>
      </c>
      <c r="Z29" s="129">
        <v>-1196371</v>
      </c>
      <c r="AA29" s="129">
        <v>-1601652</v>
      </c>
      <c r="AB29" s="129">
        <v>-433550</v>
      </c>
    </row>
    <row r="30" spans="2:28" ht="13" customHeight="1">
      <c r="B30" s="126" t="s">
        <v>212</v>
      </c>
      <c r="C30" s="126" t="s">
        <v>516</v>
      </c>
      <c r="D30" s="127">
        <f t="shared" ref="D30:N30" si="52">D28+D29</f>
        <v>69433</v>
      </c>
      <c r="E30" s="127">
        <f t="shared" si="52"/>
        <v>229476</v>
      </c>
      <c r="F30" s="127">
        <f t="shared" si="52"/>
        <v>344547</v>
      </c>
      <c r="G30" s="127">
        <f t="shared" si="52"/>
        <v>362750.48136145645</v>
      </c>
      <c r="H30" s="127">
        <f t="shared" si="52"/>
        <v>99105</v>
      </c>
      <c r="I30" s="127">
        <f t="shared" si="52"/>
        <v>270626</v>
      </c>
      <c r="J30" s="127">
        <f t="shared" si="52"/>
        <v>384569</v>
      </c>
      <c r="K30" s="127">
        <f t="shared" si="52"/>
        <v>249196</v>
      </c>
      <c r="L30" s="127">
        <f t="shared" si="52"/>
        <v>48488</v>
      </c>
      <c r="M30" s="127">
        <f t="shared" si="52"/>
        <v>-220554</v>
      </c>
      <c r="N30" s="127">
        <f t="shared" si="52"/>
        <v>-196498</v>
      </c>
      <c r="O30" s="127">
        <f t="shared" ref="O30:T30" si="53">O28+O29</f>
        <v>-222501</v>
      </c>
      <c r="P30" s="127">
        <f t="shared" si="53"/>
        <v>76255</v>
      </c>
      <c r="Q30" s="127">
        <f t="shared" si="53"/>
        <v>196239</v>
      </c>
      <c r="R30" s="127">
        <f t="shared" si="53"/>
        <v>283560</v>
      </c>
      <c r="S30" s="127">
        <f t="shared" si="53"/>
        <v>488229.98863000004</v>
      </c>
      <c r="T30" s="127">
        <f t="shared" si="53"/>
        <v>134877</v>
      </c>
      <c r="U30" s="127">
        <f t="shared" ref="U30:V30" si="54">U28+U29</f>
        <v>398388</v>
      </c>
      <c r="V30" s="127">
        <f t="shared" si="54"/>
        <v>192702</v>
      </c>
      <c r="W30" s="127">
        <f t="shared" ref="W30:X30" si="55">W28+W29</f>
        <v>487540</v>
      </c>
      <c r="X30" s="127">
        <f t="shared" si="55"/>
        <v>144886</v>
      </c>
      <c r="Y30" s="127">
        <f t="shared" ref="Y30:AA30" si="56">Y28+Y29</f>
        <v>462368</v>
      </c>
      <c r="Z30" s="127">
        <f t="shared" si="56"/>
        <v>806300</v>
      </c>
      <c r="AA30" s="127">
        <f t="shared" si="56"/>
        <v>1189107</v>
      </c>
      <c r="AB30" s="127">
        <f t="shared" ref="AB30" si="57">AB28+AB29</f>
        <v>319526</v>
      </c>
    </row>
    <row r="31" spans="2:28" ht="13" customHeight="1">
      <c r="B31" s="128" t="s">
        <v>213</v>
      </c>
      <c r="C31" s="128" t="s">
        <v>9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  <c r="Z31" s="129">
        <v>0</v>
      </c>
      <c r="AA31" s="129">
        <v>0</v>
      </c>
      <c r="AB31" s="129">
        <v>0</v>
      </c>
    </row>
    <row r="32" spans="2:28" s="105" customFormat="1" ht="13" customHeight="1">
      <c r="B32" s="126" t="s">
        <v>520</v>
      </c>
      <c r="C32" s="126" t="s">
        <v>517</v>
      </c>
      <c r="D32" s="127">
        <f t="shared" ref="D32:N32" si="58">D30+D31</f>
        <v>69433</v>
      </c>
      <c r="E32" s="127">
        <f t="shared" si="58"/>
        <v>229476</v>
      </c>
      <c r="F32" s="127">
        <f t="shared" si="58"/>
        <v>344547</v>
      </c>
      <c r="G32" s="127">
        <f t="shared" si="58"/>
        <v>362750.48136145645</v>
      </c>
      <c r="H32" s="127">
        <f t="shared" si="58"/>
        <v>99105</v>
      </c>
      <c r="I32" s="127">
        <f t="shared" si="58"/>
        <v>270626</v>
      </c>
      <c r="J32" s="127">
        <f t="shared" si="58"/>
        <v>384569</v>
      </c>
      <c r="K32" s="127">
        <f t="shared" si="58"/>
        <v>249196</v>
      </c>
      <c r="L32" s="127">
        <f t="shared" si="58"/>
        <v>48488</v>
      </c>
      <c r="M32" s="127">
        <f t="shared" si="58"/>
        <v>-220554</v>
      </c>
      <c r="N32" s="127">
        <f t="shared" si="58"/>
        <v>-196498</v>
      </c>
      <c r="O32" s="127">
        <f t="shared" ref="O32:T32" si="59">O30+O31</f>
        <v>-222501</v>
      </c>
      <c r="P32" s="127">
        <f t="shared" si="59"/>
        <v>76255</v>
      </c>
      <c r="Q32" s="127">
        <f t="shared" si="59"/>
        <v>196239</v>
      </c>
      <c r="R32" s="127">
        <f t="shared" si="59"/>
        <v>283560</v>
      </c>
      <c r="S32" s="127">
        <f t="shared" si="59"/>
        <v>488229.98863000004</v>
      </c>
      <c r="T32" s="127">
        <f t="shared" si="59"/>
        <v>134877</v>
      </c>
      <c r="U32" s="127">
        <f t="shared" ref="U32:V32" si="60">U30+U31</f>
        <v>398388</v>
      </c>
      <c r="V32" s="127">
        <f t="shared" si="60"/>
        <v>192702</v>
      </c>
      <c r="W32" s="127">
        <f t="shared" ref="W32:X32" si="61">W30+W31</f>
        <v>487540</v>
      </c>
      <c r="X32" s="127">
        <f t="shared" si="61"/>
        <v>144886</v>
      </c>
      <c r="Y32" s="127">
        <f t="shared" ref="Y32:AA32" si="62">Y30+Y31</f>
        <v>462368</v>
      </c>
      <c r="Z32" s="127">
        <f t="shared" si="62"/>
        <v>806300</v>
      </c>
      <c r="AA32" s="127">
        <f t="shared" si="62"/>
        <v>1189107</v>
      </c>
      <c r="AB32" s="127">
        <f t="shared" ref="AB32" si="63">AB30+AB31</f>
        <v>319526</v>
      </c>
    </row>
    <row r="33" spans="2:28" s="105" customFormat="1" ht="13" customHeight="1">
      <c r="B33" s="128" t="s">
        <v>490</v>
      </c>
      <c r="C33" s="128" t="s">
        <v>325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29">
        <v>0</v>
      </c>
      <c r="AA33" s="129">
        <v>0</v>
      </c>
      <c r="AB33" s="129">
        <v>0</v>
      </c>
    </row>
    <row r="34" spans="2:28" ht="13" customHeight="1">
      <c r="B34" s="126" t="s">
        <v>489</v>
      </c>
      <c r="C34" s="126" t="s">
        <v>365</v>
      </c>
      <c r="D34" s="127">
        <f>D32+D33</f>
        <v>69433</v>
      </c>
      <c r="E34" s="127">
        <f t="shared" ref="E34:R34" si="64">E32+E33</f>
        <v>229476</v>
      </c>
      <c r="F34" s="127">
        <f t="shared" si="64"/>
        <v>344547</v>
      </c>
      <c r="G34" s="127">
        <f t="shared" si="64"/>
        <v>362750.48136145645</v>
      </c>
      <c r="H34" s="127">
        <f t="shared" si="64"/>
        <v>99105</v>
      </c>
      <c r="I34" s="127">
        <f t="shared" si="64"/>
        <v>270626</v>
      </c>
      <c r="J34" s="127">
        <f t="shared" si="64"/>
        <v>384569</v>
      </c>
      <c r="K34" s="127">
        <f t="shared" si="64"/>
        <v>249196</v>
      </c>
      <c r="L34" s="127">
        <f t="shared" si="64"/>
        <v>48488</v>
      </c>
      <c r="M34" s="127">
        <f t="shared" si="64"/>
        <v>-220554</v>
      </c>
      <c r="N34" s="127">
        <f t="shared" si="64"/>
        <v>-196498</v>
      </c>
      <c r="O34" s="127">
        <f t="shared" si="64"/>
        <v>-222501</v>
      </c>
      <c r="P34" s="127">
        <f t="shared" si="64"/>
        <v>76255</v>
      </c>
      <c r="Q34" s="127">
        <f t="shared" si="64"/>
        <v>196239</v>
      </c>
      <c r="R34" s="127">
        <f t="shared" si="64"/>
        <v>283560</v>
      </c>
      <c r="S34" s="127">
        <f>S32+S33</f>
        <v>488229.98863000004</v>
      </c>
      <c r="T34" s="127">
        <f t="shared" ref="T34:U34" si="65">T32+T33</f>
        <v>134877</v>
      </c>
      <c r="U34" s="127">
        <f t="shared" si="65"/>
        <v>398388</v>
      </c>
      <c r="V34" s="127">
        <f t="shared" ref="V34:W34" si="66">V32+V33</f>
        <v>192702</v>
      </c>
      <c r="W34" s="127">
        <f t="shared" si="66"/>
        <v>487540</v>
      </c>
      <c r="X34" s="127">
        <f t="shared" ref="X34:Y34" si="67">X32+X33</f>
        <v>144886</v>
      </c>
      <c r="Y34" s="127">
        <f t="shared" si="67"/>
        <v>462368</v>
      </c>
      <c r="Z34" s="127">
        <f t="shared" ref="Z34:AA34" si="68">Z32+Z33</f>
        <v>806300</v>
      </c>
      <c r="AA34" s="127">
        <f t="shared" si="68"/>
        <v>1189107</v>
      </c>
      <c r="AB34" s="127">
        <f t="shared" ref="AB34" si="69">AB32+AB33</f>
        <v>319526</v>
      </c>
    </row>
    <row r="35" spans="2:28" ht="13" customHeight="1">
      <c r="B35" s="128" t="s">
        <v>366</v>
      </c>
      <c r="C35" s="128" t="s">
        <v>130</v>
      </c>
      <c r="D35" s="129">
        <v>0</v>
      </c>
      <c r="E35" s="129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8">
        <v>0</v>
      </c>
      <c r="L35" s="128">
        <v>0</v>
      </c>
      <c r="M35" s="129">
        <v>0</v>
      </c>
      <c r="N35" s="129">
        <v>0</v>
      </c>
      <c r="O35" s="128">
        <v>0</v>
      </c>
      <c r="P35" s="128">
        <v>0</v>
      </c>
      <c r="Q35" s="129">
        <v>0</v>
      </c>
      <c r="R35" s="129">
        <v>0</v>
      </c>
      <c r="S35" s="129">
        <v>0</v>
      </c>
      <c r="T35" s="128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29">
        <v>0</v>
      </c>
      <c r="AA35" s="129">
        <v>0</v>
      </c>
      <c r="AB35" s="129">
        <v>0</v>
      </c>
    </row>
    <row r="36" spans="2:28" ht="13" customHeight="1">
      <c r="B36" s="128" t="s">
        <v>367</v>
      </c>
      <c r="C36" s="128" t="s">
        <v>35</v>
      </c>
      <c r="D36" s="129">
        <v>41278975</v>
      </c>
      <c r="E36" s="129">
        <v>40887185</v>
      </c>
      <c r="F36" s="129">
        <v>41226087</v>
      </c>
      <c r="G36" s="129">
        <v>42794828</v>
      </c>
      <c r="H36" s="129">
        <v>42388747</v>
      </c>
      <c r="I36" s="129">
        <v>43482677</v>
      </c>
      <c r="J36" s="129">
        <v>44048961</v>
      </c>
      <c r="K36" s="129">
        <v>45210209</v>
      </c>
      <c r="L36" s="129">
        <v>44888609</v>
      </c>
      <c r="M36" s="129">
        <v>46326999</v>
      </c>
      <c r="N36" s="129">
        <v>47173807</v>
      </c>
      <c r="O36" s="129">
        <v>48425983</v>
      </c>
      <c r="P36" s="129">
        <v>49973793</v>
      </c>
      <c r="Q36" s="129">
        <v>49626522</v>
      </c>
      <c r="R36" s="129">
        <v>49727319</v>
      </c>
      <c r="S36" s="129">
        <v>54051971</v>
      </c>
      <c r="T36" s="129">
        <v>54629051</v>
      </c>
      <c r="U36" s="129">
        <v>54182803</v>
      </c>
      <c r="V36" s="129">
        <v>53328409</v>
      </c>
      <c r="W36" s="129">
        <v>52649971</v>
      </c>
      <c r="X36" s="129">
        <v>53327341</v>
      </c>
      <c r="Y36" s="129">
        <v>52888700</v>
      </c>
      <c r="Z36" s="129">
        <v>54977317</v>
      </c>
      <c r="AA36" s="129">
        <v>59050271</v>
      </c>
      <c r="AB36" s="129">
        <v>59630843</v>
      </c>
    </row>
    <row r="37" spans="2:28" ht="13" customHeight="1">
      <c r="B37" s="128" t="s">
        <v>368</v>
      </c>
      <c r="C37" s="128" t="s">
        <v>369</v>
      </c>
      <c r="D37" s="129">
        <v>41946920</v>
      </c>
      <c r="E37" s="129">
        <v>42513735</v>
      </c>
      <c r="F37" s="129">
        <v>44323397</v>
      </c>
      <c r="G37" s="129">
        <v>47060665</v>
      </c>
      <c r="H37" s="129">
        <v>49030071</v>
      </c>
      <c r="I37" s="129">
        <v>49167740</v>
      </c>
      <c r="J37" s="129">
        <v>50332648</v>
      </c>
      <c r="K37" s="129">
        <v>49977603</v>
      </c>
      <c r="L37" s="129">
        <v>50326241</v>
      </c>
      <c r="M37" s="129">
        <v>49663017</v>
      </c>
      <c r="N37" s="129">
        <v>48834206</v>
      </c>
      <c r="O37" s="129">
        <v>48999933</v>
      </c>
      <c r="P37" s="129">
        <v>49992738</v>
      </c>
      <c r="Q37" s="129">
        <v>49595458</v>
      </c>
      <c r="R37" s="129">
        <v>49509468</v>
      </c>
      <c r="S37" s="129">
        <v>52740711</v>
      </c>
      <c r="T37" s="129">
        <v>55271113</v>
      </c>
      <c r="U37" s="129">
        <v>55495277</v>
      </c>
      <c r="V37" s="129">
        <v>56174431</v>
      </c>
      <c r="W37" s="129">
        <v>55126010</v>
      </c>
      <c r="X37" s="129">
        <v>54296423</v>
      </c>
      <c r="Y37" s="129">
        <v>52929194</v>
      </c>
      <c r="Z37" s="129">
        <v>53962748</v>
      </c>
      <c r="AA37" s="129">
        <v>55803945</v>
      </c>
      <c r="AB37" s="129">
        <v>55999383</v>
      </c>
    </row>
    <row r="38" spans="2:28" ht="13" customHeight="1">
      <c r="N38" s="106"/>
    </row>
    <row r="39" spans="2:28" ht="13" customHeight="1">
      <c r="B39" s="103" t="s">
        <v>370</v>
      </c>
      <c r="C39" s="103" t="s">
        <v>138</v>
      </c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7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</row>
    <row r="40" spans="2:28" ht="13" customHeight="1">
      <c r="B40" s="126" t="s">
        <v>344</v>
      </c>
      <c r="C40" s="126" t="s">
        <v>345</v>
      </c>
      <c r="D40" s="127">
        <f t="shared" ref="D40:O40" si="70">D41+D42+D43</f>
        <v>251882</v>
      </c>
      <c r="E40" s="127">
        <f t="shared" si="70"/>
        <v>506682</v>
      </c>
      <c r="F40" s="127">
        <f t="shared" si="70"/>
        <v>749626</v>
      </c>
      <c r="G40" s="127">
        <f t="shared" si="70"/>
        <v>1048487</v>
      </c>
      <c r="H40" s="127">
        <f t="shared" si="70"/>
        <v>280165</v>
      </c>
      <c r="I40" s="127">
        <f t="shared" si="70"/>
        <v>575058</v>
      </c>
      <c r="J40" s="127">
        <f t="shared" si="70"/>
        <v>896384</v>
      </c>
      <c r="K40" s="127">
        <f t="shared" si="70"/>
        <v>1171536</v>
      </c>
      <c r="L40" s="127">
        <f t="shared" si="70"/>
        <v>283052</v>
      </c>
      <c r="M40" s="127">
        <f t="shared" si="70"/>
        <v>535914</v>
      </c>
      <c r="N40" s="127">
        <f t="shared" si="70"/>
        <v>726673</v>
      </c>
      <c r="O40" s="127">
        <f t="shared" si="70"/>
        <v>990616</v>
      </c>
      <c r="P40" s="127">
        <f t="shared" ref="P40:U40" si="71">P41+P42+P43</f>
        <v>221788</v>
      </c>
      <c r="Q40" s="127">
        <f t="shared" si="71"/>
        <v>437313</v>
      </c>
      <c r="R40" s="127">
        <f t="shared" si="71"/>
        <v>652880</v>
      </c>
      <c r="S40" s="127">
        <f t="shared" si="71"/>
        <v>878963</v>
      </c>
      <c r="T40" s="127">
        <f t="shared" si="71"/>
        <v>281445</v>
      </c>
      <c r="U40" s="127">
        <f t="shared" si="71"/>
        <v>638047</v>
      </c>
      <c r="V40" s="127">
        <f t="shared" ref="V40" si="72">V41+V42+V43</f>
        <v>1054163</v>
      </c>
      <c r="W40" s="127">
        <f t="shared" ref="W40:AB40" si="73">W41+W42+W43</f>
        <v>1502219</v>
      </c>
      <c r="X40" s="127">
        <f t="shared" si="73"/>
        <v>433872</v>
      </c>
      <c r="Y40" s="127">
        <f t="shared" si="73"/>
        <v>870037</v>
      </c>
      <c r="Z40" s="127">
        <f t="shared" si="73"/>
        <v>1311094</v>
      </c>
      <c r="AA40" s="127">
        <f t="shared" si="73"/>
        <v>1733695</v>
      </c>
      <c r="AB40" s="127">
        <f t="shared" si="73"/>
        <v>389081</v>
      </c>
    </row>
    <row r="41" spans="2:28" ht="13" customHeight="1">
      <c r="B41" s="128" t="s">
        <v>346</v>
      </c>
      <c r="C41" s="128" t="s">
        <v>347</v>
      </c>
      <c r="D41" s="129">
        <v>297159</v>
      </c>
      <c r="E41" s="129">
        <v>598789</v>
      </c>
      <c r="F41" s="129">
        <v>878541</v>
      </c>
      <c r="G41" s="129">
        <v>1223181</v>
      </c>
      <c r="H41" s="129">
        <v>309933</v>
      </c>
      <c r="I41" s="129">
        <v>634916</v>
      </c>
      <c r="J41" s="129">
        <v>989010</v>
      </c>
      <c r="K41" s="129">
        <v>1301607</v>
      </c>
      <c r="L41" s="129">
        <v>303852</v>
      </c>
      <c r="M41" s="129">
        <v>569137</v>
      </c>
      <c r="N41" s="129">
        <v>774339</v>
      </c>
      <c r="O41" s="129">
        <v>1036742</v>
      </c>
      <c r="P41" s="129">
        <v>226932</v>
      </c>
      <c r="Q41" s="129">
        <v>446168</v>
      </c>
      <c r="R41" s="129">
        <v>665573</v>
      </c>
      <c r="S41" s="129">
        <v>900624</v>
      </c>
      <c r="T41" s="129">
        <v>300849</v>
      </c>
      <c r="U41" s="129">
        <v>697703</v>
      </c>
      <c r="V41" s="129">
        <v>1189927</v>
      </c>
      <c r="W41" s="129">
        <v>1380617</v>
      </c>
      <c r="X41" s="129">
        <v>420300</v>
      </c>
      <c r="Y41" s="129">
        <v>841806</v>
      </c>
      <c r="Z41" s="129">
        <v>1268870</v>
      </c>
      <c r="AA41" s="129">
        <v>1674903</v>
      </c>
      <c r="AB41" s="129">
        <v>376118</v>
      </c>
    </row>
    <row r="42" spans="2:28" ht="13" customHeight="1">
      <c r="B42" s="128" t="s">
        <v>348</v>
      </c>
      <c r="C42" s="128" t="s">
        <v>349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8">
        <v>0</v>
      </c>
      <c r="L42" s="128">
        <v>0</v>
      </c>
      <c r="M42" s="129">
        <v>0</v>
      </c>
      <c r="N42" s="129">
        <v>0</v>
      </c>
      <c r="O42" s="128">
        <v>0</v>
      </c>
      <c r="P42" s="128">
        <v>0</v>
      </c>
      <c r="Q42" s="129">
        <v>0</v>
      </c>
      <c r="R42" s="129">
        <v>0</v>
      </c>
      <c r="S42" s="129">
        <v>0</v>
      </c>
      <c r="T42" s="128">
        <v>0</v>
      </c>
      <c r="U42" s="129">
        <v>0</v>
      </c>
      <c r="V42" s="129">
        <v>0</v>
      </c>
      <c r="W42" s="129">
        <v>334741</v>
      </c>
      <c r="X42" s="129">
        <v>106584</v>
      </c>
      <c r="Y42" s="129">
        <v>211918</v>
      </c>
      <c r="Z42" s="129">
        <v>320246</v>
      </c>
      <c r="AA42" s="129">
        <v>427770</v>
      </c>
      <c r="AB42" s="129">
        <v>106822</v>
      </c>
    </row>
    <row r="43" spans="2:28" ht="13" customHeight="1">
      <c r="B43" s="128" t="s">
        <v>350</v>
      </c>
      <c r="C43" s="128" t="s">
        <v>351</v>
      </c>
      <c r="D43" s="129">
        <v>-45277</v>
      </c>
      <c r="E43" s="129">
        <v>-92107</v>
      </c>
      <c r="F43" s="129">
        <v>-128915</v>
      </c>
      <c r="G43" s="129">
        <v>-174694</v>
      </c>
      <c r="H43" s="129">
        <v>-29768</v>
      </c>
      <c r="I43" s="129">
        <v>-59858</v>
      </c>
      <c r="J43" s="129">
        <v>-92626</v>
      </c>
      <c r="K43" s="129">
        <v>-130071</v>
      </c>
      <c r="L43" s="129">
        <v>-20800</v>
      </c>
      <c r="M43" s="129">
        <v>-33223</v>
      </c>
      <c r="N43" s="129">
        <v>-47666</v>
      </c>
      <c r="O43" s="129">
        <v>-46126</v>
      </c>
      <c r="P43" s="129">
        <v>-5144</v>
      </c>
      <c r="Q43" s="129">
        <v>-8855</v>
      </c>
      <c r="R43" s="129">
        <v>-12693</v>
      </c>
      <c r="S43" s="129">
        <v>-21661</v>
      </c>
      <c r="T43" s="129">
        <v>-19404</v>
      </c>
      <c r="U43" s="129">
        <v>-59656</v>
      </c>
      <c r="V43" s="129">
        <v>-135764</v>
      </c>
      <c r="W43" s="129">
        <v>-213139</v>
      </c>
      <c r="X43" s="129">
        <v>-93012</v>
      </c>
      <c r="Y43" s="129">
        <v>-183687</v>
      </c>
      <c r="Z43" s="129">
        <v>-278022</v>
      </c>
      <c r="AA43" s="129">
        <v>-368978</v>
      </c>
      <c r="AB43" s="129">
        <v>-93859</v>
      </c>
    </row>
    <row r="44" spans="2:28" ht="13" customHeight="1">
      <c r="B44" s="126" t="s">
        <v>352</v>
      </c>
      <c r="C44" s="126" t="s">
        <v>353</v>
      </c>
      <c r="D44" s="127">
        <f t="shared" ref="D44:N44" si="74">D45+D46</f>
        <v>-19956</v>
      </c>
      <c r="E44" s="127">
        <f t="shared" si="74"/>
        <v>-34581</v>
      </c>
      <c r="F44" s="127">
        <f t="shared" si="74"/>
        <v>-68522</v>
      </c>
      <c r="G44" s="127">
        <f t="shared" si="74"/>
        <v>-186915</v>
      </c>
      <c r="H44" s="127">
        <f t="shared" si="74"/>
        <v>-65432</v>
      </c>
      <c r="I44" s="127">
        <f t="shared" si="74"/>
        <v>-138302</v>
      </c>
      <c r="J44" s="127">
        <f t="shared" si="74"/>
        <v>-205411</v>
      </c>
      <c r="K44" s="127">
        <f t="shared" si="74"/>
        <v>-271436</v>
      </c>
      <c r="L44" s="127">
        <f t="shared" si="74"/>
        <v>-68784</v>
      </c>
      <c r="M44" s="127">
        <f t="shared" si="74"/>
        <v>-113043</v>
      </c>
      <c r="N44" s="127">
        <f t="shared" si="74"/>
        <v>-125529</v>
      </c>
      <c r="O44" s="127">
        <f t="shared" ref="O44:T44" si="75">O45+O46</f>
        <v>-135911</v>
      </c>
      <c r="P44" s="127">
        <f t="shared" si="75"/>
        <v>-12717</v>
      </c>
      <c r="Q44" s="127">
        <f t="shared" si="75"/>
        <v>-16828</v>
      </c>
      <c r="R44" s="127">
        <f t="shared" si="75"/>
        <v>-26037</v>
      </c>
      <c r="S44" s="127">
        <f t="shared" si="75"/>
        <v>-29888</v>
      </c>
      <c r="T44" s="127">
        <f t="shared" si="75"/>
        <v>-30810</v>
      </c>
      <c r="U44" s="127">
        <f t="shared" ref="U44:V44" si="76">U45+U46</f>
        <v>-89158</v>
      </c>
      <c r="V44" s="127">
        <f t="shared" si="76"/>
        <v>-170830</v>
      </c>
      <c r="W44" s="127">
        <f t="shared" ref="W44:X44" si="77">W45+W46</f>
        <v>-273821</v>
      </c>
      <c r="X44" s="127">
        <f t="shared" si="77"/>
        <v>-138328</v>
      </c>
      <c r="Y44" s="127">
        <f t="shared" ref="Y44:AA44" si="78">Y45+Y46</f>
        <v>-266167</v>
      </c>
      <c r="Z44" s="127">
        <f t="shared" si="78"/>
        <v>-379523</v>
      </c>
      <c r="AA44" s="127">
        <f t="shared" si="78"/>
        <v>-457600</v>
      </c>
      <c r="AB44" s="127">
        <f t="shared" ref="AB44" si="79">AB45+AB46</f>
        <v>-61004</v>
      </c>
    </row>
    <row r="45" spans="2:28" ht="13" customHeight="1">
      <c r="B45" s="128" t="s">
        <v>354</v>
      </c>
      <c r="C45" s="128" t="s">
        <v>355</v>
      </c>
      <c r="D45" s="129">
        <v>101867</v>
      </c>
      <c r="E45" s="129">
        <v>213306</v>
      </c>
      <c r="F45" s="129">
        <v>310989</v>
      </c>
      <c r="G45" s="129">
        <v>383850</v>
      </c>
      <c r="H45" s="129">
        <v>90225</v>
      </c>
      <c r="I45" s="129">
        <v>181319</v>
      </c>
      <c r="J45" s="129">
        <v>280179</v>
      </c>
      <c r="K45" s="129">
        <v>375540</v>
      </c>
      <c r="L45" s="129">
        <v>83229</v>
      </c>
      <c r="M45" s="129">
        <v>130122</v>
      </c>
      <c r="N45" s="129">
        <v>169768</v>
      </c>
      <c r="O45" s="129">
        <v>208334</v>
      </c>
      <c r="P45" s="129">
        <v>39825</v>
      </c>
      <c r="Q45" s="129">
        <v>53675</v>
      </c>
      <c r="R45" s="129">
        <v>80249</v>
      </c>
      <c r="S45" s="129">
        <v>150730</v>
      </c>
      <c r="T45" s="129">
        <v>124856</v>
      </c>
      <c r="U45" s="129">
        <v>340065</v>
      </c>
      <c r="V45" s="129">
        <v>629970</v>
      </c>
      <c r="W45" s="129">
        <v>929285</v>
      </c>
      <c r="X45" s="129">
        <v>235846</v>
      </c>
      <c r="Y45" s="129">
        <v>493561</v>
      </c>
      <c r="Z45" s="129">
        <v>768332</v>
      </c>
      <c r="AA45" s="129">
        <v>1040332</v>
      </c>
      <c r="AB45" s="129">
        <v>273929</v>
      </c>
    </row>
    <row r="46" spans="2:28" ht="13" customHeight="1">
      <c r="B46" s="128" t="s">
        <v>356</v>
      </c>
      <c r="C46" s="128" t="s">
        <v>357</v>
      </c>
      <c r="D46" s="129">
        <v>-121823</v>
      </c>
      <c r="E46" s="129">
        <v>-247887</v>
      </c>
      <c r="F46" s="129">
        <v>-379511</v>
      </c>
      <c r="G46" s="129">
        <v>-570765</v>
      </c>
      <c r="H46" s="129">
        <v>-155657</v>
      </c>
      <c r="I46" s="129">
        <v>-319621</v>
      </c>
      <c r="J46" s="129">
        <v>-485590</v>
      </c>
      <c r="K46" s="129">
        <v>-646976</v>
      </c>
      <c r="L46" s="129">
        <v>-152013</v>
      </c>
      <c r="M46" s="129">
        <v>-243165</v>
      </c>
      <c r="N46" s="129">
        <v>-295297</v>
      </c>
      <c r="O46" s="129">
        <v>-344245</v>
      </c>
      <c r="P46" s="129">
        <v>-52542</v>
      </c>
      <c r="Q46" s="129">
        <v>-70503</v>
      </c>
      <c r="R46" s="129">
        <v>-106286</v>
      </c>
      <c r="S46" s="129">
        <v>-180618</v>
      </c>
      <c r="T46" s="129">
        <v>-155666</v>
      </c>
      <c r="U46" s="129">
        <v>-429223</v>
      </c>
      <c r="V46" s="129">
        <v>-800800</v>
      </c>
      <c r="W46" s="129">
        <v>-1203106</v>
      </c>
      <c r="X46" s="129">
        <v>-374174</v>
      </c>
      <c r="Y46" s="129">
        <v>-759728</v>
      </c>
      <c r="Z46" s="129">
        <v>-1147855</v>
      </c>
      <c r="AA46" s="129">
        <v>-1497932</v>
      </c>
      <c r="AB46" s="129">
        <v>-334933</v>
      </c>
    </row>
    <row r="47" spans="2:28" ht="13" customHeight="1">
      <c r="B47" s="126" t="s">
        <v>198</v>
      </c>
      <c r="C47" s="126" t="s">
        <v>1</v>
      </c>
      <c r="D47" s="127">
        <f t="shared" ref="D47:N47" si="80">D40+D44</f>
        <v>231926</v>
      </c>
      <c r="E47" s="127">
        <f t="shared" si="80"/>
        <v>472101</v>
      </c>
      <c r="F47" s="127">
        <f t="shared" si="80"/>
        <v>681104</v>
      </c>
      <c r="G47" s="127">
        <f t="shared" si="80"/>
        <v>861572</v>
      </c>
      <c r="H47" s="127">
        <f t="shared" si="80"/>
        <v>214733</v>
      </c>
      <c r="I47" s="127">
        <f t="shared" si="80"/>
        <v>436756</v>
      </c>
      <c r="J47" s="127">
        <f t="shared" si="80"/>
        <v>690973</v>
      </c>
      <c r="K47" s="127">
        <f t="shared" si="80"/>
        <v>900100</v>
      </c>
      <c r="L47" s="127">
        <f t="shared" si="80"/>
        <v>214268</v>
      </c>
      <c r="M47" s="127">
        <f t="shared" si="80"/>
        <v>422871</v>
      </c>
      <c r="N47" s="127">
        <f t="shared" si="80"/>
        <v>601144</v>
      </c>
      <c r="O47" s="127">
        <f t="shared" ref="O47:T47" si="81">O40+O44</f>
        <v>854705</v>
      </c>
      <c r="P47" s="127">
        <f t="shared" si="81"/>
        <v>209071</v>
      </c>
      <c r="Q47" s="127">
        <f t="shared" si="81"/>
        <v>420485</v>
      </c>
      <c r="R47" s="127">
        <f t="shared" si="81"/>
        <v>626843</v>
      </c>
      <c r="S47" s="127">
        <f t="shared" si="81"/>
        <v>849075</v>
      </c>
      <c r="T47" s="127">
        <f t="shared" si="81"/>
        <v>250635</v>
      </c>
      <c r="U47" s="127">
        <f t="shared" ref="U47:V47" si="82">U40+U44</f>
        <v>548889</v>
      </c>
      <c r="V47" s="127">
        <f t="shared" si="82"/>
        <v>883333</v>
      </c>
      <c r="W47" s="127">
        <f t="shared" ref="W47:X47" si="83">W40+W44</f>
        <v>1228398</v>
      </c>
      <c r="X47" s="127">
        <f t="shared" si="83"/>
        <v>295544</v>
      </c>
      <c r="Y47" s="127">
        <f t="shared" ref="Y47:AA47" si="84">Y40+Y44</f>
        <v>603870</v>
      </c>
      <c r="Z47" s="127">
        <f t="shared" si="84"/>
        <v>931571</v>
      </c>
      <c r="AA47" s="127">
        <f t="shared" si="84"/>
        <v>1276095</v>
      </c>
      <c r="AB47" s="127">
        <f t="shared" ref="AB47" si="85">AB40+AB44</f>
        <v>328077</v>
      </c>
    </row>
    <row r="48" spans="2:28" ht="13" customHeight="1">
      <c r="B48" s="128" t="s">
        <v>199</v>
      </c>
      <c r="C48" s="128" t="s">
        <v>358</v>
      </c>
      <c r="D48" s="129">
        <v>147218</v>
      </c>
      <c r="E48" s="129">
        <v>294768</v>
      </c>
      <c r="F48" s="129">
        <v>458337</v>
      </c>
      <c r="G48" s="129">
        <v>632102</v>
      </c>
      <c r="H48" s="129">
        <v>162585</v>
      </c>
      <c r="I48" s="129">
        <v>341579</v>
      </c>
      <c r="J48" s="129">
        <v>532253</v>
      </c>
      <c r="K48" s="129">
        <v>729128</v>
      </c>
      <c r="L48" s="129">
        <v>186091</v>
      </c>
      <c r="M48" s="129">
        <v>373873</v>
      </c>
      <c r="N48" s="129">
        <v>588473</v>
      </c>
      <c r="O48" s="129">
        <v>811486</v>
      </c>
      <c r="P48" s="129">
        <v>215137</v>
      </c>
      <c r="Q48" s="129">
        <v>458719</v>
      </c>
      <c r="R48" s="129">
        <v>732618</v>
      </c>
      <c r="S48" s="129">
        <v>1012240</v>
      </c>
      <c r="T48" s="129">
        <v>268456</v>
      </c>
      <c r="U48" s="129">
        <v>575348</v>
      </c>
      <c r="V48" s="129">
        <v>891595</v>
      </c>
      <c r="W48" s="129">
        <v>1214616</v>
      </c>
      <c r="X48" s="129">
        <v>305881</v>
      </c>
      <c r="Y48" s="129">
        <v>637782</v>
      </c>
      <c r="Z48" s="129">
        <v>992644</v>
      </c>
      <c r="AA48" s="129">
        <v>1323852</v>
      </c>
      <c r="AB48" s="129">
        <v>328151</v>
      </c>
    </row>
    <row r="49" spans="2:28" ht="13" customHeight="1">
      <c r="B49" s="128" t="s">
        <v>200</v>
      </c>
      <c r="C49" s="128" t="s">
        <v>359</v>
      </c>
      <c r="D49" s="129">
        <v>-44881</v>
      </c>
      <c r="E49" s="129">
        <v>-91921</v>
      </c>
      <c r="F49" s="129">
        <v>-150133</v>
      </c>
      <c r="G49" s="129">
        <v>-206979</v>
      </c>
      <c r="H49" s="129">
        <v>-54223</v>
      </c>
      <c r="I49" s="129">
        <v>-132686</v>
      </c>
      <c r="J49" s="129">
        <v>-213814</v>
      </c>
      <c r="K49" s="129">
        <v>-296694</v>
      </c>
      <c r="L49" s="129">
        <v>-81401</v>
      </c>
      <c r="M49" s="129">
        <v>-162445</v>
      </c>
      <c r="N49" s="129">
        <v>-270133</v>
      </c>
      <c r="O49" s="129">
        <v>-366572</v>
      </c>
      <c r="P49" s="129">
        <v>-90171</v>
      </c>
      <c r="Q49" s="129">
        <v>-202193</v>
      </c>
      <c r="R49" s="129">
        <v>-341086</v>
      </c>
      <c r="S49" s="129">
        <v>-475203</v>
      </c>
      <c r="T49" s="129">
        <v>-130856</v>
      </c>
      <c r="U49" s="129">
        <v>-293510</v>
      </c>
      <c r="V49" s="129">
        <v>-471861</v>
      </c>
      <c r="W49" s="129">
        <v>-647043</v>
      </c>
      <c r="X49" s="129">
        <v>-163517</v>
      </c>
      <c r="Y49" s="129">
        <v>-359881</v>
      </c>
      <c r="Z49" s="129">
        <v>-573554</v>
      </c>
      <c r="AA49" s="129">
        <v>-765567</v>
      </c>
      <c r="AB49" s="129">
        <v>-187046</v>
      </c>
    </row>
    <row r="50" spans="2:28" ht="13" customHeight="1">
      <c r="B50" s="126" t="s">
        <v>201</v>
      </c>
      <c r="C50" s="126" t="s">
        <v>12</v>
      </c>
      <c r="D50" s="127">
        <f t="shared" ref="D50:N50" si="86">D48+D49</f>
        <v>102337</v>
      </c>
      <c r="E50" s="127">
        <f t="shared" si="86"/>
        <v>202847</v>
      </c>
      <c r="F50" s="127">
        <f t="shared" si="86"/>
        <v>308204</v>
      </c>
      <c r="G50" s="127">
        <f t="shared" si="86"/>
        <v>425123</v>
      </c>
      <c r="H50" s="127">
        <f t="shared" si="86"/>
        <v>108362</v>
      </c>
      <c r="I50" s="127">
        <f t="shared" si="86"/>
        <v>208893</v>
      </c>
      <c r="J50" s="127">
        <f t="shared" si="86"/>
        <v>318439</v>
      </c>
      <c r="K50" s="127">
        <f t="shared" si="86"/>
        <v>432434</v>
      </c>
      <c r="L50" s="127">
        <f t="shared" si="86"/>
        <v>104690</v>
      </c>
      <c r="M50" s="127">
        <f t="shared" si="86"/>
        <v>211428</v>
      </c>
      <c r="N50" s="127">
        <f t="shared" si="86"/>
        <v>318340</v>
      </c>
      <c r="O50" s="127">
        <f t="shared" ref="O50:T50" si="87">O48+O49</f>
        <v>444914</v>
      </c>
      <c r="P50" s="127">
        <f t="shared" si="87"/>
        <v>124966</v>
      </c>
      <c r="Q50" s="127">
        <f t="shared" si="87"/>
        <v>256526</v>
      </c>
      <c r="R50" s="127">
        <f t="shared" si="87"/>
        <v>391532</v>
      </c>
      <c r="S50" s="127">
        <f t="shared" si="87"/>
        <v>537037</v>
      </c>
      <c r="T50" s="127">
        <f t="shared" si="87"/>
        <v>137600</v>
      </c>
      <c r="U50" s="127">
        <f t="shared" ref="U50:V50" si="88">U48+U49</f>
        <v>281838</v>
      </c>
      <c r="V50" s="127">
        <f t="shared" si="88"/>
        <v>419734</v>
      </c>
      <c r="W50" s="127">
        <f t="shared" ref="W50:X50" si="89">W48+W49</f>
        <v>567573</v>
      </c>
      <c r="X50" s="127">
        <f t="shared" si="89"/>
        <v>142364</v>
      </c>
      <c r="Y50" s="127">
        <f t="shared" ref="Y50:AA50" si="90">Y48+Y49</f>
        <v>277901</v>
      </c>
      <c r="Z50" s="127">
        <f t="shared" si="90"/>
        <v>419090</v>
      </c>
      <c r="AA50" s="127">
        <f t="shared" si="90"/>
        <v>558285</v>
      </c>
      <c r="AB50" s="127">
        <f t="shared" ref="AB50" si="91">AB48+AB49</f>
        <v>141105</v>
      </c>
    </row>
    <row r="51" spans="2:28" ht="13" customHeight="1">
      <c r="B51" s="128" t="s">
        <v>202</v>
      </c>
      <c r="C51" s="128" t="s">
        <v>2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29">
        <v>0</v>
      </c>
      <c r="AA51" s="129">
        <v>0</v>
      </c>
      <c r="AB51" s="129">
        <v>0</v>
      </c>
    </row>
    <row r="52" spans="2:28" ht="13" customHeight="1">
      <c r="B52" s="128" t="s">
        <v>203</v>
      </c>
      <c r="C52" s="128" t="s">
        <v>16</v>
      </c>
      <c r="D52" s="129">
        <v>15279</v>
      </c>
      <c r="E52" s="129">
        <v>46027</v>
      </c>
      <c r="F52" s="129">
        <v>66371</v>
      </c>
      <c r="G52" s="129">
        <v>82037</v>
      </c>
      <c r="H52" s="129">
        <v>14138</v>
      </c>
      <c r="I52" s="129">
        <v>22377</v>
      </c>
      <c r="J52" s="129">
        <v>36691</v>
      </c>
      <c r="K52" s="129">
        <v>52097</v>
      </c>
      <c r="L52" s="129">
        <v>10111</v>
      </c>
      <c r="M52" s="129">
        <v>14598</v>
      </c>
      <c r="N52" s="129">
        <v>18466</v>
      </c>
      <c r="O52" s="129">
        <v>27370</v>
      </c>
      <c r="P52" s="129">
        <v>4778</v>
      </c>
      <c r="Q52" s="129">
        <v>7216</v>
      </c>
      <c r="R52" s="129">
        <v>9222</v>
      </c>
      <c r="S52" s="129">
        <v>13163</v>
      </c>
      <c r="T52" s="129">
        <v>12489</v>
      </c>
      <c r="U52" s="129">
        <v>17493</v>
      </c>
      <c r="V52" s="129">
        <v>28577</v>
      </c>
      <c r="W52" s="129">
        <v>36280</v>
      </c>
      <c r="X52" s="129">
        <v>8666</v>
      </c>
      <c r="Y52" s="129">
        <v>16170</v>
      </c>
      <c r="Z52" s="129">
        <v>23775</v>
      </c>
      <c r="AA52" s="129">
        <v>28926</v>
      </c>
      <c r="AB52" s="129">
        <v>4599</v>
      </c>
    </row>
    <row r="53" spans="2:28" ht="13" customHeight="1">
      <c r="B53" s="126" t="s">
        <v>204</v>
      </c>
      <c r="C53" s="126" t="s">
        <v>360</v>
      </c>
      <c r="D53" s="127">
        <v>0</v>
      </c>
      <c r="E53" s="127">
        <f t="shared" ref="E53:N53" si="92">E54+E55</f>
        <v>0</v>
      </c>
      <c r="F53" s="127">
        <f t="shared" si="92"/>
        <v>0</v>
      </c>
      <c r="G53" s="127">
        <f t="shared" si="92"/>
        <v>0</v>
      </c>
      <c r="H53" s="127">
        <f t="shared" si="92"/>
        <v>0</v>
      </c>
      <c r="I53" s="127">
        <f t="shared" si="92"/>
        <v>0</v>
      </c>
      <c r="J53" s="127">
        <f t="shared" si="92"/>
        <v>0</v>
      </c>
      <c r="K53" s="126">
        <f t="shared" si="92"/>
        <v>0</v>
      </c>
      <c r="L53" s="126">
        <f t="shared" si="92"/>
        <v>0</v>
      </c>
      <c r="M53" s="127">
        <f t="shared" si="92"/>
        <v>0</v>
      </c>
      <c r="N53" s="127">
        <f t="shared" si="92"/>
        <v>0</v>
      </c>
      <c r="O53" s="126">
        <f t="shared" ref="O53:T53" si="93">O54+O55</f>
        <v>0</v>
      </c>
      <c r="P53" s="126">
        <f t="shared" si="93"/>
        <v>0</v>
      </c>
      <c r="Q53" s="127">
        <f t="shared" si="93"/>
        <v>0</v>
      </c>
      <c r="R53" s="127">
        <f t="shared" si="93"/>
        <v>0</v>
      </c>
      <c r="S53" s="127">
        <f t="shared" si="93"/>
        <v>0</v>
      </c>
      <c r="T53" s="126">
        <f t="shared" si="93"/>
        <v>0</v>
      </c>
      <c r="U53" s="127">
        <f t="shared" ref="U53:V53" si="94">U54+U55</f>
        <v>0</v>
      </c>
      <c r="V53" s="127">
        <f t="shared" si="94"/>
        <v>0</v>
      </c>
      <c r="W53" s="127">
        <f t="shared" ref="W53:X53" si="95">W54+W55</f>
        <v>0</v>
      </c>
      <c r="X53" s="127">
        <f t="shared" si="95"/>
        <v>0</v>
      </c>
      <c r="Y53" s="127">
        <f t="shared" ref="Y53:AA53" si="96">Y54+Y55</f>
        <v>0</v>
      </c>
      <c r="Z53" s="127">
        <f t="shared" si="96"/>
        <v>0</v>
      </c>
      <c r="AA53" s="127">
        <f t="shared" si="96"/>
        <v>0</v>
      </c>
      <c r="AB53" s="127">
        <f t="shared" ref="AB53" si="97">AB54+AB55</f>
        <v>0</v>
      </c>
    </row>
    <row r="54" spans="2:28" ht="13" customHeight="1">
      <c r="B54" s="128" t="s">
        <v>205</v>
      </c>
      <c r="C54" s="128" t="s">
        <v>361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  <c r="X54" s="129">
        <v>0</v>
      </c>
      <c r="Y54" s="129">
        <v>0</v>
      </c>
      <c r="Z54" s="129">
        <v>0</v>
      </c>
      <c r="AA54" s="129">
        <v>0</v>
      </c>
      <c r="AB54" s="129">
        <v>0</v>
      </c>
    </row>
    <row r="55" spans="2:28" ht="13" customHeight="1">
      <c r="B55" s="128" t="s">
        <v>206</v>
      </c>
      <c r="C55" s="128" t="s">
        <v>14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29">
        <v>0</v>
      </c>
      <c r="V55" s="129">
        <v>0</v>
      </c>
      <c r="W55" s="129">
        <v>0</v>
      </c>
      <c r="X55" s="129">
        <v>0</v>
      </c>
      <c r="Y55" s="129">
        <v>0</v>
      </c>
      <c r="Z55" s="129">
        <v>0</v>
      </c>
      <c r="AA55" s="129">
        <v>0</v>
      </c>
      <c r="AB55" s="129">
        <v>0</v>
      </c>
    </row>
    <row r="56" spans="2:28" ht="13" customHeight="1">
      <c r="B56" s="128" t="s">
        <v>207</v>
      </c>
      <c r="C56" s="128" t="s">
        <v>6</v>
      </c>
      <c r="D56" s="129">
        <v>14045</v>
      </c>
      <c r="E56" s="129">
        <v>470</v>
      </c>
      <c r="F56" s="129">
        <v>19533</v>
      </c>
      <c r="G56" s="129">
        <v>28665</v>
      </c>
      <c r="H56" s="129">
        <v>3341</v>
      </c>
      <c r="I56" s="129">
        <v>8202</v>
      </c>
      <c r="J56" s="129">
        <v>14045</v>
      </c>
      <c r="K56" s="129">
        <v>24648</v>
      </c>
      <c r="L56" s="129">
        <v>10187</v>
      </c>
      <c r="M56" s="129">
        <v>20848</v>
      </c>
      <c r="N56" s="129">
        <v>26387</v>
      </c>
      <c r="O56" s="129">
        <v>34249</v>
      </c>
      <c r="P56" s="129">
        <v>11577</v>
      </c>
      <c r="Q56" s="129">
        <v>19056</v>
      </c>
      <c r="R56" s="129">
        <v>28032</v>
      </c>
      <c r="S56" s="129">
        <v>35776</v>
      </c>
      <c r="T56" s="129">
        <v>5654</v>
      </c>
      <c r="U56" s="129">
        <v>14040</v>
      </c>
      <c r="V56" s="129">
        <v>20834</v>
      </c>
      <c r="W56" s="129">
        <v>40216</v>
      </c>
      <c r="X56" s="129">
        <v>8700</v>
      </c>
      <c r="Y56" s="129">
        <v>20285</v>
      </c>
      <c r="Z56" s="129">
        <v>32035</v>
      </c>
      <c r="AA56" s="129">
        <v>45086</v>
      </c>
      <c r="AB56" s="129">
        <v>8811</v>
      </c>
    </row>
    <row r="57" spans="2:28" ht="13" customHeight="1">
      <c r="B57" s="128" t="s">
        <v>362</v>
      </c>
      <c r="C57" s="128" t="s">
        <v>7</v>
      </c>
      <c r="D57" s="129">
        <v>-4742</v>
      </c>
      <c r="E57" s="129">
        <v>-12203</v>
      </c>
      <c r="F57" s="129">
        <v>-17304</v>
      </c>
      <c r="G57" s="129">
        <v>-25595</v>
      </c>
      <c r="H57" s="129">
        <v>-5217</v>
      </c>
      <c r="I57" s="129">
        <v>-11561</v>
      </c>
      <c r="J57" s="129">
        <v>-25697</v>
      </c>
      <c r="K57" s="129">
        <v>-43916</v>
      </c>
      <c r="L57" s="129">
        <v>-17543</v>
      </c>
      <c r="M57" s="129">
        <v>-26986</v>
      </c>
      <c r="N57" s="129">
        <v>-34743</v>
      </c>
      <c r="O57" s="129">
        <v>-42961</v>
      </c>
      <c r="P57" s="129">
        <v>-6631</v>
      </c>
      <c r="Q57" s="129">
        <v>-12806</v>
      </c>
      <c r="R57" s="129">
        <v>-19521</v>
      </c>
      <c r="S57" s="129">
        <v>-29814</v>
      </c>
      <c r="T57" s="129">
        <v>-5880</v>
      </c>
      <c r="U57" s="129">
        <v>-10990</v>
      </c>
      <c r="V57" s="129">
        <v>-20701</v>
      </c>
      <c r="W57" s="129">
        <v>-31989</v>
      </c>
      <c r="X57" s="129">
        <v>-5142</v>
      </c>
      <c r="Y57" s="129">
        <v>-13414</v>
      </c>
      <c r="Z57" s="129">
        <v>-21602</v>
      </c>
      <c r="AA57" s="129">
        <v>-34397</v>
      </c>
      <c r="AB57" s="129">
        <v>-5979</v>
      </c>
    </row>
    <row r="58" spans="2:28" ht="13" customHeight="1">
      <c r="B58" s="126" t="s">
        <v>363</v>
      </c>
      <c r="C58" s="126" t="s">
        <v>8</v>
      </c>
      <c r="D58" s="127">
        <f t="shared" ref="D58:N58" si="98">D56+D57</f>
        <v>9303</v>
      </c>
      <c r="E58" s="127">
        <f t="shared" si="98"/>
        <v>-11733</v>
      </c>
      <c r="F58" s="127">
        <f t="shared" si="98"/>
        <v>2229</v>
      </c>
      <c r="G58" s="127">
        <f t="shared" si="98"/>
        <v>3070</v>
      </c>
      <c r="H58" s="127">
        <f t="shared" si="98"/>
        <v>-1876</v>
      </c>
      <c r="I58" s="127">
        <f t="shared" si="98"/>
        <v>-3359</v>
      </c>
      <c r="J58" s="127">
        <f t="shared" si="98"/>
        <v>-11652</v>
      </c>
      <c r="K58" s="127">
        <f t="shared" si="98"/>
        <v>-19268</v>
      </c>
      <c r="L58" s="127">
        <f t="shared" si="98"/>
        <v>-7356</v>
      </c>
      <c r="M58" s="127">
        <f t="shared" si="98"/>
        <v>-6138</v>
      </c>
      <c r="N58" s="127">
        <f t="shared" si="98"/>
        <v>-8356</v>
      </c>
      <c r="O58" s="127">
        <f t="shared" ref="O58:T58" si="99">O56+O57</f>
        <v>-8712</v>
      </c>
      <c r="P58" s="127">
        <f t="shared" si="99"/>
        <v>4946</v>
      </c>
      <c r="Q58" s="127">
        <f t="shared" si="99"/>
        <v>6250</v>
      </c>
      <c r="R58" s="127">
        <f t="shared" si="99"/>
        <v>8511</v>
      </c>
      <c r="S58" s="127">
        <f t="shared" si="99"/>
        <v>5962</v>
      </c>
      <c r="T58" s="127">
        <f t="shared" si="99"/>
        <v>-226</v>
      </c>
      <c r="U58" s="127">
        <f t="shared" ref="U58:W58" si="100">U56+U57</f>
        <v>3050</v>
      </c>
      <c r="V58" s="127">
        <f t="shared" si="100"/>
        <v>133</v>
      </c>
      <c r="W58" s="127">
        <f t="shared" si="100"/>
        <v>8227</v>
      </c>
      <c r="X58" s="127">
        <f t="shared" ref="X58:Y58" si="101">X56+X57</f>
        <v>3558</v>
      </c>
      <c r="Y58" s="127">
        <f t="shared" si="101"/>
        <v>6871</v>
      </c>
      <c r="Z58" s="127">
        <f t="shared" ref="Z58:AA58" si="102">Z56+Z57</f>
        <v>10433</v>
      </c>
      <c r="AA58" s="127">
        <f t="shared" si="102"/>
        <v>10689</v>
      </c>
      <c r="AB58" s="127">
        <f t="shared" ref="AB58" si="103">AB56+AB57</f>
        <v>2832</v>
      </c>
    </row>
    <row r="59" spans="2:28" ht="13" customHeight="1">
      <c r="B59" s="130" t="s">
        <v>518</v>
      </c>
      <c r="C59" s="126" t="s">
        <v>514</v>
      </c>
      <c r="D59" s="127">
        <f>D47+D50+D53+D58+D52</f>
        <v>358845</v>
      </c>
      <c r="E59" s="127">
        <f t="shared" ref="E59:O59" si="104">E47+E50+E53+E58+E52+E51</f>
        <v>709242</v>
      </c>
      <c r="F59" s="127">
        <f t="shared" si="104"/>
        <v>1057908</v>
      </c>
      <c r="G59" s="127">
        <f t="shared" si="104"/>
        <v>1371802</v>
      </c>
      <c r="H59" s="127">
        <f t="shared" si="104"/>
        <v>335357</v>
      </c>
      <c r="I59" s="127">
        <f t="shared" si="104"/>
        <v>664667</v>
      </c>
      <c r="J59" s="127">
        <f t="shared" si="104"/>
        <v>1034451</v>
      </c>
      <c r="K59" s="127">
        <f t="shared" si="104"/>
        <v>1365363</v>
      </c>
      <c r="L59" s="127">
        <f t="shared" si="104"/>
        <v>321713</v>
      </c>
      <c r="M59" s="127">
        <f t="shared" si="104"/>
        <v>642759</v>
      </c>
      <c r="N59" s="127">
        <f t="shared" si="104"/>
        <v>929594</v>
      </c>
      <c r="O59" s="127">
        <f t="shared" si="104"/>
        <v>1318277</v>
      </c>
      <c r="P59" s="127">
        <f t="shared" ref="P59:U59" si="105">P47+P50+P53+P58+P52+P51</f>
        <v>343761</v>
      </c>
      <c r="Q59" s="127">
        <f t="shared" si="105"/>
        <v>690477</v>
      </c>
      <c r="R59" s="127">
        <f t="shared" si="105"/>
        <v>1036108</v>
      </c>
      <c r="S59" s="127">
        <f t="shared" si="105"/>
        <v>1405237</v>
      </c>
      <c r="T59" s="127">
        <f t="shared" si="105"/>
        <v>400498</v>
      </c>
      <c r="U59" s="127">
        <f t="shared" si="105"/>
        <v>851270</v>
      </c>
      <c r="V59" s="127">
        <f t="shared" ref="V59:W59" si="106">V47+V50+V53+V58+V52+V51</f>
        <v>1331777</v>
      </c>
      <c r="W59" s="127">
        <f t="shared" si="106"/>
        <v>1840478</v>
      </c>
      <c r="X59" s="127">
        <f t="shared" ref="X59:Y59" si="107">X47+X50+X53+X58+X52+X51</f>
        <v>450132</v>
      </c>
      <c r="Y59" s="127">
        <f t="shared" si="107"/>
        <v>904812</v>
      </c>
      <c r="Z59" s="127">
        <f t="shared" ref="Z59:AA59" si="108">Z47+Z50+Z53+Z58+Z52+Z51</f>
        <v>1384869</v>
      </c>
      <c r="AA59" s="127">
        <f t="shared" si="108"/>
        <v>1873995</v>
      </c>
      <c r="AB59" s="127">
        <f t="shared" ref="AB59" si="109">AB47+AB50+AB53+AB58+AB52+AB51</f>
        <v>476613</v>
      </c>
    </row>
    <row r="60" spans="2:28" ht="13" customHeight="1">
      <c r="B60" s="128" t="s">
        <v>340</v>
      </c>
      <c r="C60" s="128" t="s">
        <v>638</v>
      </c>
      <c r="D60" s="129">
        <v>-106203</v>
      </c>
      <c r="E60" s="129">
        <v>-251107</v>
      </c>
      <c r="F60" s="129">
        <v>-398101</v>
      </c>
      <c r="G60" s="129">
        <v>-629104.48136145645</v>
      </c>
      <c r="H60" s="129">
        <v>-173798</v>
      </c>
      <c r="I60" s="129">
        <v>-549108</v>
      </c>
      <c r="J60" s="129">
        <v>-728596</v>
      </c>
      <c r="K60" s="129">
        <v>-921700</v>
      </c>
      <c r="L60" s="129">
        <v>-151175</v>
      </c>
      <c r="M60" s="129">
        <v>-798540</v>
      </c>
      <c r="N60" s="129">
        <v>-927187</v>
      </c>
      <c r="O60" s="129">
        <v>-1017475</v>
      </c>
      <c r="P60" s="129">
        <v>-140403</v>
      </c>
      <c r="Q60" s="129">
        <v>-331225</v>
      </c>
      <c r="R60" s="129">
        <v>-486323</v>
      </c>
      <c r="S60" s="129">
        <v>-713324</v>
      </c>
      <c r="T60" s="129">
        <v>-98057</v>
      </c>
      <c r="U60" s="129">
        <v>-207902</v>
      </c>
      <c r="V60" s="129">
        <v>-286198</v>
      </c>
      <c r="W60" s="129">
        <v>-360858</v>
      </c>
      <c r="X60" s="129">
        <v>-90641</v>
      </c>
      <c r="Y60" s="129">
        <v>-161247</v>
      </c>
      <c r="Z60" s="129">
        <v>-210256</v>
      </c>
      <c r="AA60" s="129">
        <v>-299898</v>
      </c>
      <c r="AB60" s="129">
        <v>-31876</v>
      </c>
    </row>
    <row r="61" spans="2:28" ht="13" customHeight="1">
      <c r="B61" s="128" t="s">
        <v>364</v>
      </c>
      <c r="C61" s="128" t="s">
        <v>341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>
        <v>0</v>
      </c>
      <c r="V61" s="129">
        <v>0</v>
      </c>
      <c r="W61" s="129">
        <v>-13575</v>
      </c>
      <c r="X61" s="129">
        <v>-66</v>
      </c>
      <c r="Y61" s="129">
        <v>-2466</v>
      </c>
      <c r="Z61" s="129">
        <v>-2725</v>
      </c>
      <c r="AA61" s="129">
        <v>-3195</v>
      </c>
      <c r="AB61" s="129">
        <v>-27</v>
      </c>
    </row>
    <row r="62" spans="2:28" ht="13" customHeight="1">
      <c r="B62" s="128" t="s">
        <v>464</v>
      </c>
      <c r="C62" s="128" t="s">
        <v>463</v>
      </c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29">
        <v>0</v>
      </c>
    </row>
    <row r="63" spans="2:28" ht="13" customHeight="1">
      <c r="B63" s="126" t="s">
        <v>519</v>
      </c>
      <c r="C63" s="126" t="s">
        <v>515</v>
      </c>
      <c r="D63" s="127">
        <f t="shared" ref="D63:N63" si="110">D59+D60+D61</f>
        <v>252642</v>
      </c>
      <c r="E63" s="127">
        <f t="shared" si="110"/>
        <v>458135</v>
      </c>
      <c r="F63" s="127">
        <f t="shared" si="110"/>
        <v>659807</v>
      </c>
      <c r="G63" s="127">
        <f t="shared" si="110"/>
        <v>742697.51863854355</v>
      </c>
      <c r="H63" s="127">
        <f t="shared" si="110"/>
        <v>161559</v>
      </c>
      <c r="I63" s="127">
        <f t="shared" si="110"/>
        <v>115559</v>
      </c>
      <c r="J63" s="127">
        <f t="shared" si="110"/>
        <v>305855</v>
      </c>
      <c r="K63" s="127">
        <f t="shared" si="110"/>
        <v>443663</v>
      </c>
      <c r="L63" s="127">
        <f t="shared" si="110"/>
        <v>170538</v>
      </c>
      <c r="M63" s="127">
        <f t="shared" si="110"/>
        <v>-155781</v>
      </c>
      <c r="N63" s="127">
        <f t="shared" si="110"/>
        <v>2407</v>
      </c>
      <c r="O63" s="127">
        <f t="shared" ref="O63:T63" si="111">O59+O60+O61</f>
        <v>300802</v>
      </c>
      <c r="P63" s="127">
        <f t="shared" si="111"/>
        <v>203358</v>
      </c>
      <c r="Q63" s="127">
        <f t="shared" si="111"/>
        <v>359252</v>
      </c>
      <c r="R63" s="127">
        <f t="shared" si="111"/>
        <v>549785</v>
      </c>
      <c r="S63" s="127">
        <f t="shared" si="111"/>
        <v>691913</v>
      </c>
      <c r="T63" s="127">
        <f t="shared" si="111"/>
        <v>302441</v>
      </c>
      <c r="U63" s="127">
        <f t="shared" ref="U63:V63" si="112">U59+U60+U61</f>
        <v>643368</v>
      </c>
      <c r="V63" s="127">
        <f t="shared" si="112"/>
        <v>1045579</v>
      </c>
      <c r="W63" s="127">
        <f t="shared" ref="W63:X63" si="113">W59+W60+W61</f>
        <v>1466045</v>
      </c>
      <c r="X63" s="127">
        <f t="shared" si="113"/>
        <v>359425</v>
      </c>
      <c r="Y63" s="127">
        <f t="shared" ref="Y63:AA63" si="114">Y59+Y60+Y61</f>
        <v>741099</v>
      </c>
      <c r="Z63" s="127">
        <f t="shared" si="114"/>
        <v>1171888</v>
      </c>
      <c r="AA63" s="127">
        <f t="shared" si="114"/>
        <v>1570902</v>
      </c>
      <c r="AB63" s="127">
        <f t="shared" ref="AB63" si="115">AB59+AB60+AB61</f>
        <v>444710</v>
      </c>
    </row>
    <row r="64" spans="2:28" ht="13" customHeight="1">
      <c r="B64" s="128" t="s">
        <v>210</v>
      </c>
      <c r="C64" s="128" t="s">
        <v>319</v>
      </c>
      <c r="D64" s="129">
        <v>-132750</v>
      </c>
      <c r="E64" s="129">
        <v>-262592</v>
      </c>
      <c r="F64" s="129">
        <v>-379400</v>
      </c>
      <c r="G64" s="129">
        <v>-499655</v>
      </c>
      <c r="H64" s="129">
        <v>-175972</v>
      </c>
      <c r="I64" s="129">
        <v>-325385</v>
      </c>
      <c r="J64" s="129">
        <v>-462246</v>
      </c>
      <c r="K64" s="129">
        <v>-595972</v>
      </c>
      <c r="L64" s="129">
        <v>-187697</v>
      </c>
      <c r="M64" s="129">
        <v>-340404</v>
      </c>
      <c r="N64" s="129">
        <v>-486366</v>
      </c>
      <c r="O64" s="129">
        <v>-627939</v>
      </c>
      <c r="P64" s="129">
        <v>-150060</v>
      </c>
      <c r="Q64" s="129">
        <v>-273774</v>
      </c>
      <c r="R64" s="129">
        <v>-383843</v>
      </c>
      <c r="S64" s="129">
        <v>-498631</v>
      </c>
      <c r="T64" s="129">
        <v>-161624</v>
      </c>
      <c r="U64" s="129">
        <v>-339237</v>
      </c>
      <c r="V64" s="129">
        <v>-486590</v>
      </c>
      <c r="W64" s="129">
        <v>-653029</v>
      </c>
      <c r="X64" s="129">
        <v>-170242</v>
      </c>
      <c r="Y64" s="129">
        <v>-324721</v>
      </c>
      <c r="Z64" s="129">
        <v>-480053</v>
      </c>
      <c r="AA64" s="129">
        <v>-639300</v>
      </c>
      <c r="AB64" s="129">
        <v>-182976</v>
      </c>
    </row>
    <row r="65" spans="2:28" ht="13" customHeight="1">
      <c r="B65" s="126" t="s">
        <v>212</v>
      </c>
      <c r="C65" s="126" t="s">
        <v>516</v>
      </c>
      <c r="D65" s="127">
        <f t="shared" ref="D65:N65" si="116">D63+D64</f>
        <v>119892</v>
      </c>
      <c r="E65" s="127">
        <f t="shared" si="116"/>
        <v>195543</v>
      </c>
      <c r="F65" s="127">
        <f t="shared" si="116"/>
        <v>280407</v>
      </c>
      <c r="G65" s="127">
        <f t="shared" si="116"/>
        <v>243042.51863854355</v>
      </c>
      <c r="H65" s="127">
        <f t="shared" si="116"/>
        <v>-14413</v>
      </c>
      <c r="I65" s="127">
        <f t="shared" si="116"/>
        <v>-209826</v>
      </c>
      <c r="J65" s="127">
        <f t="shared" si="116"/>
        <v>-156391</v>
      </c>
      <c r="K65" s="127">
        <f t="shared" si="116"/>
        <v>-152309</v>
      </c>
      <c r="L65" s="127">
        <f t="shared" si="116"/>
        <v>-17159</v>
      </c>
      <c r="M65" s="127">
        <f t="shared" si="116"/>
        <v>-496185</v>
      </c>
      <c r="N65" s="127">
        <f t="shared" si="116"/>
        <v>-483959</v>
      </c>
      <c r="O65" s="127">
        <f t="shared" ref="O65:T65" si="117">O63+O64</f>
        <v>-327137</v>
      </c>
      <c r="P65" s="127">
        <f t="shared" si="117"/>
        <v>53298</v>
      </c>
      <c r="Q65" s="127">
        <f t="shared" si="117"/>
        <v>85478</v>
      </c>
      <c r="R65" s="127">
        <f t="shared" si="117"/>
        <v>165942</v>
      </c>
      <c r="S65" s="127">
        <f t="shared" si="117"/>
        <v>193282</v>
      </c>
      <c r="T65" s="127">
        <f t="shared" si="117"/>
        <v>140817</v>
      </c>
      <c r="U65" s="127">
        <f t="shared" ref="U65:V65" si="118">U63+U64</f>
        <v>304131</v>
      </c>
      <c r="V65" s="127">
        <f t="shared" si="118"/>
        <v>558989</v>
      </c>
      <c r="W65" s="127">
        <f t="shared" ref="W65:AB65" si="119">W63+W64</f>
        <v>813016</v>
      </c>
      <c r="X65" s="127">
        <f t="shared" si="119"/>
        <v>189183</v>
      </c>
      <c r="Y65" s="127">
        <f t="shared" si="119"/>
        <v>416378</v>
      </c>
      <c r="Z65" s="127">
        <f t="shared" si="119"/>
        <v>691835</v>
      </c>
      <c r="AA65" s="127">
        <f t="shared" si="119"/>
        <v>931602</v>
      </c>
      <c r="AB65" s="127">
        <f t="shared" si="119"/>
        <v>261734</v>
      </c>
    </row>
    <row r="66" spans="2:28" ht="13" customHeight="1">
      <c r="B66" s="128" t="s">
        <v>213</v>
      </c>
      <c r="C66" s="128" t="s">
        <v>9</v>
      </c>
      <c r="D66" s="129">
        <v>0</v>
      </c>
      <c r="E66" s="129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29">
        <v>0</v>
      </c>
      <c r="Z66" s="129">
        <v>0</v>
      </c>
      <c r="AA66" s="129">
        <v>0</v>
      </c>
      <c r="AB66" s="129">
        <v>0</v>
      </c>
    </row>
    <row r="67" spans="2:28" ht="13" customHeight="1">
      <c r="B67" s="126" t="s">
        <v>520</v>
      </c>
      <c r="C67" s="126" t="s">
        <v>517</v>
      </c>
      <c r="D67" s="127">
        <f t="shared" ref="D67:N67" si="120">D65+D66</f>
        <v>119892</v>
      </c>
      <c r="E67" s="127">
        <f t="shared" si="120"/>
        <v>195543</v>
      </c>
      <c r="F67" s="127">
        <f t="shared" si="120"/>
        <v>280407</v>
      </c>
      <c r="G67" s="127">
        <f t="shared" si="120"/>
        <v>243042.51863854355</v>
      </c>
      <c r="H67" s="127">
        <f t="shared" si="120"/>
        <v>-14413</v>
      </c>
      <c r="I67" s="127">
        <f t="shared" si="120"/>
        <v>-209826</v>
      </c>
      <c r="J67" s="127">
        <f t="shared" si="120"/>
        <v>-156391</v>
      </c>
      <c r="K67" s="127">
        <f t="shared" si="120"/>
        <v>-152309</v>
      </c>
      <c r="L67" s="127">
        <f t="shared" si="120"/>
        <v>-17159</v>
      </c>
      <c r="M67" s="127">
        <f t="shared" si="120"/>
        <v>-496185</v>
      </c>
      <c r="N67" s="127">
        <f t="shared" si="120"/>
        <v>-483959</v>
      </c>
      <c r="O67" s="127">
        <f t="shared" ref="O67:T67" si="121">O65+O66</f>
        <v>-327137</v>
      </c>
      <c r="P67" s="127">
        <f t="shared" si="121"/>
        <v>53298</v>
      </c>
      <c r="Q67" s="127">
        <f t="shared" si="121"/>
        <v>85478</v>
      </c>
      <c r="R67" s="127">
        <f t="shared" si="121"/>
        <v>165942</v>
      </c>
      <c r="S67" s="127">
        <f t="shared" si="121"/>
        <v>193282</v>
      </c>
      <c r="T67" s="127">
        <f t="shared" si="121"/>
        <v>140817</v>
      </c>
      <c r="U67" s="127">
        <f t="shared" ref="U67:V67" si="122">U65+U66</f>
        <v>304131</v>
      </c>
      <c r="V67" s="127">
        <f t="shared" si="122"/>
        <v>558989</v>
      </c>
      <c r="W67" s="127">
        <f t="shared" ref="W67:X67" si="123">W65+W66</f>
        <v>813016</v>
      </c>
      <c r="X67" s="127">
        <f t="shared" si="123"/>
        <v>189183</v>
      </c>
      <c r="Y67" s="127">
        <f t="shared" ref="Y67:AA67" si="124">Y65+Y66</f>
        <v>416378</v>
      </c>
      <c r="Z67" s="127">
        <f t="shared" si="124"/>
        <v>691835</v>
      </c>
      <c r="AA67" s="127">
        <f t="shared" si="124"/>
        <v>931602</v>
      </c>
      <c r="AB67" s="127">
        <f t="shared" ref="AB67" si="125">AB65+AB66</f>
        <v>261734</v>
      </c>
    </row>
    <row r="68" spans="2:28" ht="13" customHeight="1">
      <c r="B68" s="128" t="s">
        <v>490</v>
      </c>
      <c r="C68" s="128" t="s">
        <v>325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29">
        <v>0</v>
      </c>
      <c r="Z68" s="129">
        <v>0</v>
      </c>
      <c r="AA68" s="129">
        <v>0</v>
      </c>
      <c r="AB68" s="129">
        <v>0</v>
      </c>
    </row>
    <row r="69" spans="2:28" ht="13" customHeight="1">
      <c r="B69" s="126" t="s">
        <v>489</v>
      </c>
      <c r="C69" s="126" t="s">
        <v>365</v>
      </c>
      <c r="D69" s="127">
        <f>D67+D68</f>
        <v>119892</v>
      </c>
      <c r="E69" s="127">
        <f t="shared" ref="E69:R69" si="126">E67+E68</f>
        <v>195543</v>
      </c>
      <c r="F69" s="127">
        <f t="shared" si="126"/>
        <v>280407</v>
      </c>
      <c r="G69" s="127">
        <f t="shared" si="126"/>
        <v>243042.51863854355</v>
      </c>
      <c r="H69" s="127">
        <f t="shared" si="126"/>
        <v>-14413</v>
      </c>
      <c r="I69" s="127">
        <f t="shared" si="126"/>
        <v>-209826</v>
      </c>
      <c r="J69" s="127">
        <f t="shared" si="126"/>
        <v>-156391</v>
      </c>
      <c r="K69" s="127">
        <f t="shared" si="126"/>
        <v>-152309</v>
      </c>
      <c r="L69" s="127">
        <f t="shared" si="126"/>
        <v>-17159</v>
      </c>
      <c r="M69" s="127">
        <f t="shared" si="126"/>
        <v>-496185</v>
      </c>
      <c r="N69" s="127">
        <f t="shared" si="126"/>
        <v>-483959</v>
      </c>
      <c r="O69" s="127">
        <f t="shared" si="126"/>
        <v>-327137</v>
      </c>
      <c r="P69" s="127">
        <f t="shared" si="126"/>
        <v>53298</v>
      </c>
      <c r="Q69" s="127">
        <f t="shared" si="126"/>
        <v>85478</v>
      </c>
      <c r="R69" s="127">
        <f t="shared" si="126"/>
        <v>165942</v>
      </c>
      <c r="S69" s="127">
        <f>S67+S68</f>
        <v>193282</v>
      </c>
      <c r="T69" s="127">
        <f t="shared" ref="T69:U69" si="127">T67+T68</f>
        <v>140817</v>
      </c>
      <c r="U69" s="127">
        <f t="shared" si="127"/>
        <v>304131</v>
      </c>
      <c r="V69" s="127">
        <f t="shared" ref="V69:W69" si="128">V67+V68</f>
        <v>558989</v>
      </c>
      <c r="W69" s="127">
        <f t="shared" si="128"/>
        <v>813016</v>
      </c>
      <c r="X69" s="127">
        <f t="shared" ref="X69:Y69" si="129">X67+X68</f>
        <v>189183</v>
      </c>
      <c r="Y69" s="127">
        <f t="shared" si="129"/>
        <v>416378</v>
      </c>
      <c r="Z69" s="127"/>
      <c r="AA69" s="127">
        <f t="shared" ref="AA69:AB69" si="130">AA67+AA68</f>
        <v>931602</v>
      </c>
      <c r="AB69" s="127">
        <f t="shared" si="130"/>
        <v>261734</v>
      </c>
    </row>
    <row r="70" spans="2:28" ht="13" customHeight="1">
      <c r="B70" s="128" t="s">
        <v>366</v>
      </c>
      <c r="C70" s="128" t="s">
        <v>130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8">
        <v>0</v>
      </c>
      <c r="L70" s="128">
        <v>0</v>
      </c>
      <c r="M70" s="129"/>
      <c r="N70" s="129"/>
      <c r="O70" s="128">
        <v>0</v>
      </c>
      <c r="P70" s="128">
        <v>0</v>
      </c>
      <c r="Q70" s="129">
        <v>0</v>
      </c>
      <c r="R70" s="129">
        <v>0</v>
      </c>
      <c r="S70" s="129">
        <v>0</v>
      </c>
      <c r="T70" s="128">
        <v>0</v>
      </c>
      <c r="U70" s="129">
        <v>0</v>
      </c>
      <c r="V70" s="129">
        <v>0</v>
      </c>
      <c r="W70" s="129">
        <v>0</v>
      </c>
      <c r="X70" s="129">
        <v>0</v>
      </c>
      <c r="Y70" s="129">
        <v>0</v>
      </c>
      <c r="Z70" s="129">
        <v>0</v>
      </c>
      <c r="AA70" s="129">
        <v>0</v>
      </c>
      <c r="AB70" s="129">
        <v>0</v>
      </c>
    </row>
    <row r="71" spans="2:28" ht="13" customHeight="1">
      <c r="B71" s="128" t="s">
        <v>367</v>
      </c>
      <c r="C71" s="128" t="s">
        <v>35</v>
      </c>
      <c r="D71" s="129">
        <v>28118098</v>
      </c>
      <c r="E71" s="129">
        <v>28506395</v>
      </c>
      <c r="F71" s="129">
        <v>28938063</v>
      </c>
      <c r="G71" s="129">
        <v>29545325</v>
      </c>
      <c r="H71" s="129">
        <v>31190633</v>
      </c>
      <c r="I71" s="129">
        <v>32452365</v>
      </c>
      <c r="J71" s="129">
        <v>31795662</v>
      </c>
      <c r="K71" s="129">
        <v>30334075</v>
      </c>
      <c r="L71" s="129">
        <v>30456071</v>
      </c>
      <c r="M71" s="129">
        <v>29981715</v>
      </c>
      <c r="N71" s="129">
        <v>29195350</v>
      </c>
      <c r="O71" s="129">
        <v>28997767</v>
      </c>
      <c r="P71" s="129">
        <v>28674561</v>
      </c>
      <c r="Q71" s="129">
        <v>28166943</v>
      </c>
      <c r="R71" s="129">
        <v>27298366</v>
      </c>
      <c r="S71" s="129">
        <v>27694072</v>
      </c>
      <c r="T71" s="129">
        <v>28609690</v>
      </c>
      <c r="U71" s="129">
        <v>28517099</v>
      </c>
      <c r="V71" s="129">
        <v>29238921</v>
      </c>
      <c r="W71" s="129">
        <v>28810018</v>
      </c>
      <c r="X71" s="129">
        <v>29707847</v>
      </c>
      <c r="Y71" s="129">
        <v>29449865</v>
      </c>
      <c r="Z71" s="129">
        <v>30287104</v>
      </c>
      <c r="AA71" s="129">
        <v>30099871</v>
      </c>
      <c r="AB71" s="129">
        <v>30820405</v>
      </c>
    </row>
    <row r="72" spans="2:28" ht="13" customHeight="1">
      <c r="B72" s="128" t="s">
        <v>368</v>
      </c>
      <c r="C72" s="128" t="s">
        <v>369</v>
      </c>
      <c r="D72" s="129">
        <v>22265699</v>
      </c>
      <c r="E72" s="129">
        <v>21531655</v>
      </c>
      <c r="F72" s="129">
        <v>20355710</v>
      </c>
      <c r="G72" s="129">
        <v>19594487</v>
      </c>
      <c r="H72" s="129">
        <v>18961066</v>
      </c>
      <c r="I72" s="129">
        <v>21228914</v>
      </c>
      <c r="J72" s="129">
        <v>19830018</v>
      </c>
      <c r="K72" s="129">
        <v>19904261</v>
      </c>
      <c r="L72" s="129">
        <v>19353513</v>
      </c>
      <c r="M72" s="129">
        <v>21475786</v>
      </c>
      <c r="N72" s="129">
        <v>22277942</v>
      </c>
      <c r="O72" s="129">
        <v>23075812</v>
      </c>
      <c r="P72" s="129">
        <v>23338681</v>
      </c>
      <c r="Q72" s="129">
        <v>22853990</v>
      </c>
      <c r="R72" s="129">
        <v>22074212</v>
      </c>
      <c r="S72" s="129">
        <v>24351899</v>
      </c>
      <c r="T72" s="129">
        <v>23727185</v>
      </c>
      <c r="U72" s="129">
        <v>23279599</v>
      </c>
      <c r="V72" s="129">
        <v>22304085</v>
      </c>
      <c r="W72" s="129">
        <v>21332211</v>
      </c>
      <c r="X72" s="129">
        <v>23028294</v>
      </c>
      <c r="Y72" s="129">
        <v>22751753</v>
      </c>
      <c r="Z72" s="129">
        <v>23541956</v>
      </c>
      <c r="AA72" s="129">
        <v>24754364</v>
      </c>
      <c r="AB72" s="129">
        <v>25486501</v>
      </c>
    </row>
    <row r="73" spans="2:28" ht="13" customHeight="1">
      <c r="N73" s="106"/>
    </row>
    <row r="74" spans="2:28" ht="13" customHeight="1">
      <c r="B74" s="103" t="s">
        <v>371</v>
      </c>
      <c r="C74" s="103" t="s">
        <v>372</v>
      </c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7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</row>
    <row r="75" spans="2:28" ht="13" customHeight="1">
      <c r="B75" s="126" t="s">
        <v>344</v>
      </c>
      <c r="C75" s="126" t="s">
        <v>345</v>
      </c>
      <c r="D75" s="127">
        <f t="shared" ref="D75:O75" si="131">D76+D77+D78</f>
        <v>31971</v>
      </c>
      <c r="E75" s="127">
        <f t="shared" si="131"/>
        <v>54356</v>
      </c>
      <c r="F75" s="127">
        <f t="shared" si="131"/>
        <v>106244</v>
      </c>
      <c r="G75" s="127">
        <f t="shared" si="131"/>
        <v>124476</v>
      </c>
      <c r="H75" s="127">
        <f t="shared" si="131"/>
        <v>38433</v>
      </c>
      <c r="I75" s="127">
        <f t="shared" si="131"/>
        <v>66397</v>
      </c>
      <c r="J75" s="127">
        <f t="shared" si="131"/>
        <v>52016</v>
      </c>
      <c r="K75" s="127">
        <f t="shared" si="131"/>
        <v>173842</v>
      </c>
      <c r="L75" s="127">
        <f t="shared" si="131"/>
        <v>51218</v>
      </c>
      <c r="M75" s="127">
        <f t="shared" si="131"/>
        <v>107229</v>
      </c>
      <c r="N75" s="127">
        <f t="shared" si="131"/>
        <v>187096</v>
      </c>
      <c r="O75" s="127">
        <f t="shared" si="131"/>
        <v>185278</v>
      </c>
      <c r="P75" s="127">
        <f t="shared" ref="P75:U75" si="132">P76+P77+P78</f>
        <v>27745</v>
      </c>
      <c r="Q75" s="127">
        <f t="shared" si="132"/>
        <v>57344</v>
      </c>
      <c r="R75" s="127">
        <f t="shared" si="132"/>
        <v>86081</v>
      </c>
      <c r="S75" s="127">
        <f t="shared" si="132"/>
        <v>119705</v>
      </c>
      <c r="T75" s="127">
        <f t="shared" si="132"/>
        <v>-1382</v>
      </c>
      <c r="U75" s="127">
        <f t="shared" si="132"/>
        <v>-74229</v>
      </c>
      <c r="V75" s="127">
        <f t="shared" ref="V75:W75" si="133">V76+V77+V78</f>
        <v>-82272</v>
      </c>
      <c r="W75" s="127">
        <f t="shared" si="133"/>
        <v>-73196</v>
      </c>
      <c r="X75" s="127">
        <f t="shared" ref="X75:Y75" si="134">X76+X77+X78</f>
        <v>54524</v>
      </c>
      <c r="Y75" s="127">
        <f t="shared" si="134"/>
        <v>112740</v>
      </c>
      <c r="Z75" s="127">
        <f t="shared" ref="Z75:AA75" si="135">Z76+Z77+Z78</f>
        <v>187148</v>
      </c>
      <c r="AA75" s="127">
        <f t="shared" si="135"/>
        <v>328296</v>
      </c>
      <c r="AB75" s="127">
        <f t="shared" ref="AB75" si="136">AB76+AB77+AB78</f>
        <v>188986</v>
      </c>
    </row>
    <row r="76" spans="2:28" ht="13" customHeight="1">
      <c r="B76" s="128" t="s">
        <v>346</v>
      </c>
      <c r="C76" s="128" t="s">
        <v>347</v>
      </c>
      <c r="D76" s="129">
        <v>63045</v>
      </c>
      <c r="E76" s="129">
        <v>129281</v>
      </c>
      <c r="F76" s="129">
        <v>221736</v>
      </c>
      <c r="G76" s="129">
        <v>279208</v>
      </c>
      <c r="H76" s="129">
        <v>69058</v>
      </c>
      <c r="I76" s="129">
        <v>125685</v>
      </c>
      <c r="J76" s="129">
        <v>160963</v>
      </c>
      <c r="K76" s="129">
        <v>283358</v>
      </c>
      <c r="L76" s="129">
        <v>78653</v>
      </c>
      <c r="M76" s="129">
        <v>154782</v>
      </c>
      <c r="N76" s="129">
        <v>210652</v>
      </c>
      <c r="O76" s="129">
        <v>197955</v>
      </c>
      <c r="P76" s="129">
        <v>19964</v>
      </c>
      <c r="Q76" s="129">
        <v>40470</v>
      </c>
      <c r="R76" s="129">
        <v>53120</v>
      </c>
      <c r="S76" s="129">
        <v>88418</v>
      </c>
      <c r="T76" s="129">
        <v>90615</v>
      </c>
      <c r="U76" s="129">
        <v>253183</v>
      </c>
      <c r="V76" s="129">
        <v>532954</v>
      </c>
      <c r="W76" s="129">
        <v>833381</v>
      </c>
      <c r="X76" s="129">
        <v>343009</v>
      </c>
      <c r="Y76" s="129">
        <v>683952</v>
      </c>
      <c r="Z76" s="129">
        <v>1043530</v>
      </c>
      <c r="AA76" s="129">
        <v>1405660</v>
      </c>
      <c r="AB76" s="129">
        <v>386840</v>
      </c>
    </row>
    <row r="77" spans="2:28" ht="13" customHeight="1">
      <c r="B77" s="128" t="s">
        <v>348</v>
      </c>
      <c r="C77" s="128" t="s">
        <v>349</v>
      </c>
      <c r="D77" s="129">
        <v>35078</v>
      </c>
      <c r="E77" s="129">
        <v>87253</v>
      </c>
      <c r="F77" s="129">
        <v>125716</v>
      </c>
      <c r="G77" s="129">
        <v>150915</v>
      </c>
      <c r="H77" s="129">
        <v>33474</v>
      </c>
      <c r="I77" s="129">
        <v>68916</v>
      </c>
      <c r="J77" s="129">
        <v>113080</v>
      </c>
      <c r="K77" s="129">
        <v>153525</v>
      </c>
      <c r="L77" s="129">
        <v>22486</v>
      </c>
      <c r="M77" s="129">
        <v>60790</v>
      </c>
      <c r="N77" s="129">
        <v>115114</v>
      </c>
      <c r="O77" s="129">
        <v>173828</v>
      </c>
      <c r="P77" s="129">
        <v>62130</v>
      </c>
      <c r="Q77" s="129">
        <v>110917</v>
      </c>
      <c r="R77" s="129">
        <v>163361</v>
      </c>
      <c r="S77" s="129">
        <v>199338</v>
      </c>
      <c r="T77" s="129">
        <v>22660</v>
      </c>
      <c r="U77" s="129">
        <v>32645</v>
      </c>
      <c r="V77" s="129">
        <v>60408</v>
      </c>
      <c r="W77" s="129">
        <v>92800</v>
      </c>
      <c r="X77" s="129">
        <v>41737</v>
      </c>
      <c r="Y77" s="129">
        <v>81974</v>
      </c>
      <c r="Z77" s="129">
        <v>124119</v>
      </c>
      <c r="AA77" s="129">
        <v>154009</v>
      </c>
      <c r="AB77" s="129">
        <v>35320</v>
      </c>
    </row>
    <row r="78" spans="2:28" ht="13" customHeight="1">
      <c r="B78" s="128" t="s">
        <v>350</v>
      </c>
      <c r="C78" s="128" t="s">
        <v>351</v>
      </c>
      <c r="D78" s="129">
        <v>-66152</v>
      </c>
      <c r="E78" s="129">
        <v>-162178</v>
      </c>
      <c r="F78" s="129">
        <v>-241208</v>
      </c>
      <c r="G78" s="129">
        <v>-305647</v>
      </c>
      <c r="H78" s="129">
        <v>-64099</v>
      </c>
      <c r="I78" s="129">
        <v>-128204</v>
      </c>
      <c r="J78" s="129">
        <v>-222027</v>
      </c>
      <c r="K78" s="129">
        <v>-263041</v>
      </c>
      <c r="L78" s="129">
        <v>-49921</v>
      </c>
      <c r="M78" s="129">
        <v>-108343</v>
      </c>
      <c r="N78" s="129">
        <v>-138670</v>
      </c>
      <c r="O78" s="129">
        <v>-186505</v>
      </c>
      <c r="P78" s="129">
        <v>-54349</v>
      </c>
      <c r="Q78" s="129">
        <v>-94043</v>
      </c>
      <c r="R78" s="129">
        <v>-130400</v>
      </c>
      <c r="S78" s="129">
        <v>-168051</v>
      </c>
      <c r="T78" s="129">
        <v>-114657</v>
      </c>
      <c r="U78" s="129">
        <v>-360057</v>
      </c>
      <c r="V78" s="129">
        <v>-675634</v>
      </c>
      <c r="W78" s="129">
        <v>-999377</v>
      </c>
      <c r="X78" s="129">
        <v>-330222</v>
      </c>
      <c r="Y78" s="129">
        <v>-653186</v>
      </c>
      <c r="Z78" s="129">
        <v>-980501</v>
      </c>
      <c r="AA78" s="129">
        <v>-1231373</v>
      </c>
      <c r="AB78" s="129">
        <v>-233174</v>
      </c>
    </row>
    <row r="79" spans="2:28" ht="13" customHeight="1">
      <c r="B79" s="126" t="s">
        <v>352</v>
      </c>
      <c r="C79" s="126" t="s">
        <v>353</v>
      </c>
      <c r="D79" s="127">
        <f t="shared" ref="D79:N79" si="137">D80+D81</f>
        <v>-9350</v>
      </c>
      <c r="E79" s="127">
        <f t="shared" si="137"/>
        <v>-25680</v>
      </c>
      <c r="F79" s="127">
        <f t="shared" si="137"/>
        <v>-45186</v>
      </c>
      <c r="G79" s="127">
        <f t="shared" si="137"/>
        <v>176095</v>
      </c>
      <c r="H79" s="127">
        <f t="shared" si="137"/>
        <v>36972</v>
      </c>
      <c r="I79" s="127">
        <f t="shared" si="137"/>
        <v>78734</v>
      </c>
      <c r="J79" s="127">
        <f t="shared" si="137"/>
        <v>116532</v>
      </c>
      <c r="K79" s="127">
        <f t="shared" si="137"/>
        <v>128883</v>
      </c>
      <c r="L79" s="127">
        <f t="shared" si="137"/>
        <v>42350</v>
      </c>
      <c r="M79" s="127">
        <f t="shared" si="137"/>
        <v>87723</v>
      </c>
      <c r="N79" s="127">
        <f t="shared" si="137"/>
        <v>92684</v>
      </c>
      <c r="O79" s="127">
        <f t="shared" ref="O79:T79" si="138">O80+O81</f>
        <v>98388</v>
      </c>
      <c r="P79" s="127">
        <f t="shared" si="138"/>
        <v>10289</v>
      </c>
      <c r="Q79" s="127">
        <f t="shared" si="138"/>
        <v>-1214</v>
      </c>
      <c r="R79" s="127">
        <f t="shared" si="138"/>
        <v>2359</v>
      </c>
      <c r="S79" s="127">
        <f t="shared" si="138"/>
        <v>-57913</v>
      </c>
      <c r="T79" s="127">
        <f t="shared" si="138"/>
        <v>-8856</v>
      </c>
      <c r="U79" s="127">
        <f t="shared" ref="U79:V79" si="139">U80+U81</f>
        <v>-46411</v>
      </c>
      <c r="V79" s="127">
        <f t="shared" si="139"/>
        <v>-86555</v>
      </c>
      <c r="W79" s="127">
        <f t="shared" ref="W79:X79" si="140">W80+W81</f>
        <v>-125782</v>
      </c>
      <c r="X79" s="127">
        <f t="shared" si="140"/>
        <v>112423</v>
      </c>
      <c r="Y79" s="127">
        <f t="shared" ref="Y79:AA79" si="141">Y80+Y81</f>
        <v>172093</v>
      </c>
      <c r="Z79" s="127">
        <f t="shared" si="141"/>
        <v>214121</v>
      </c>
      <c r="AA79" s="127">
        <f t="shared" si="141"/>
        <v>216130</v>
      </c>
      <c r="AB79" s="127">
        <f t="shared" ref="AB79" si="142">AB80+AB81</f>
        <v>-9009</v>
      </c>
    </row>
    <row r="80" spans="2:28" ht="13" customHeight="1">
      <c r="B80" s="128" t="s">
        <v>354</v>
      </c>
      <c r="C80" s="128" t="s">
        <v>355</v>
      </c>
      <c r="D80" s="129">
        <v>471237</v>
      </c>
      <c r="E80" s="129">
        <v>948760</v>
      </c>
      <c r="F80" s="129">
        <v>1435146</v>
      </c>
      <c r="G80" s="129">
        <v>1441515</v>
      </c>
      <c r="H80" s="129">
        <v>378900</v>
      </c>
      <c r="I80" s="129">
        <v>771926</v>
      </c>
      <c r="J80" s="129">
        <v>1171556</v>
      </c>
      <c r="K80" s="129">
        <v>1570296</v>
      </c>
      <c r="L80" s="129">
        <v>389325</v>
      </c>
      <c r="M80" s="129">
        <v>634048</v>
      </c>
      <c r="N80" s="129">
        <v>806556</v>
      </c>
      <c r="O80" s="129">
        <v>966102</v>
      </c>
      <c r="P80" s="129">
        <v>158421</v>
      </c>
      <c r="Q80" s="129">
        <v>240999</v>
      </c>
      <c r="R80" s="129">
        <v>364039</v>
      </c>
      <c r="S80" s="129">
        <v>569641</v>
      </c>
      <c r="T80" s="129">
        <v>427796</v>
      </c>
      <c r="U80" s="129">
        <v>1159450</v>
      </c>
      <c r="V80" s="129">
        <v>2143600</v>
      </c>
      <c r="W80" s="129">
        <v>3194618</v>
      </c>
      <c r="X80" s="129">
        <v>980578</v>
      </c>
      <c r="Y80" s="129">
        <v>1970768</v>
      </c>
      <c r="Z80" s="129">
        <v>2970377</v>
      </c>
      <c r="AA80" s="129">
        <v>3898973</v>
      </c>
      <c r="AB80" s="129">
        <v>918782</v>
      </c>
    </row>
    <row r="81" spans="2:28" ht="13" customHeight="1">
      <c r="B81" s="128" t="s">
        <v>356</v>
      </c>
      <c r="C81" s="128" t="s">
        <v>357</v>
      </c>
      <c r="D81" s="129">
        <v>-480587</v>
      </c>
      <c r="E81" s="129">
        <v>-974440</v>
      </c>
      <c r="F81" s="129">
        <v>-1480332</v>
      </c>
      <c r="G81" s="129">
        <v>-1265420</v>
      </c>
      <c r="H81" s="129">
        <v>-341928</v>
      </c>
      <c r="I81" s="129">
        <v>-693192</v>
      </c>
      <c r="J81" s="129">
        <v>-1055024</v>
      </c>
      <c r="K81" s="129">
        <v>-1441413</v>
      </c>
      <c r="L81" s="129">
        <v>-346975</v>
      </c>
      <c r="M81" s="129">
        <v>-546325</v>
      </c>
      <c r="N81" s="129">
        <v>-713872</v>
      </c>
      <c r="O81" s="129">
        <v>-867714</v>
      </c>
      <c r="P81" s="129">
        <v>-148132</v>
      </c>
      <c r="Q81" s="129">
        <v>-242213</v>
      </c>
      <c r="R81" s="129">
        <v>-361680</v>
      </c>
      <c r="S81" s="129">
        <v>-627554</v>
      </c>
      <c r="T81" s="129">
        <v>-436652</v>
      </c>
      <c r="U81" s="129">
        <v>-1205861</v>
      </c>
      <c r="V81" s="129">
        <v>-2230155</v>
      </c>
      <c r="W81" s="129">
        <v>-3320400</v>
      </c>
      <c r="X81" s="129">
        <v>-868155</v>
      </c>
      <c r="Y81" s="129">
        <v>-1798675</v>
      </c>
      <c r="Z81" s="129">
        <v>-2756256</v>
      </c>
      <c r="AA81" s="129">
        <v>-3682843</v>
      </c>
      <c r="AB81" s="129">
        <v>-927791</v>
      </c>
    </row>
    <row r="82" spans="2:28" ht="13" customHeight="1">
      <c r="B82" s="126" t="s">
        <v>198</v>
      </c>
      <c r="C82" s="126" t="s">
        <v>1</v>
      </c>
      <c r="D82" s="127">
        <f t="shared" ref="D82:N82" si="143">D75+D79</f>
        <v>22621</v>
      </c>
      <c r="E82" s="127">
        <f t="shared" si="143"/>
        <v>28676</v>
      </c>
      <c r="F82" s="127">
        <f t="shared" si="143"/>
        <v>61058</v>
      </c>
      <c r="G82" s="127">
        <f t="shared" si="143"/>
        <v>300571</v>
      </c>
      <c r="H82" s="127">
        <f t="shared" si="143"/>
        <v>75405</v>
      </c>
      <c r="I82" s="127">
        <f t="shared" si="143"/>
        <v>145131</v>
      </c>
      <c r="J82" s="127">
        <f t="shared" si="143"/>
        <v>168548</v>
      </c>
      <c r="K82" s="127">
        <f t="shared" si="143"/>
        <v>302725</v>
      </c>
      <c r="L82" s="127">
        <f t="shared" si="143"/>
        <v>93568</v>
      </c>
      <c r="M82" s="127">
        <f t="shared" si="143"/>
        <v>194952</v>
      </c>
      <c r="N82" s="127">
        <f t="shared" si="143"/>
        <v>279780</v>
      </c>
      <c r="O82" s="127">
        <f t="shared" ref="O82:T82" si="144">O75+O79</f>
        <v>283666</v>
      </c>
      <c r="P82" s="127">
        <f t="shared" si="144"/>
        <v>38034</v>
      </c>
      <c r="Q82" s="127">
        <f t="shared" si="144"/>
        <v>56130</v>
      </c>
      <c r="R82" s="127">
        <f t="shared" si="144"/>
        <v>88440</v>
      </c>
      <c r="S82" s="127">
        <f t="shared" si="144"/>
        <v>61792</v>
      </c>
      <c r="T82" s="127">
        <f t="shared" si="144"/>
        <v>-10238</v>
      </c>
      <c r="U82" s="127">
        <f t="shared" ref="U82:V82" si="145">U75+U79</f>
        <v>-120640</v>
      </c>
      <c r="V82" s="127">
        <f t="shared" si="145"/>
        <v>-168827</v>
      </c>
      <c r="W82" s="127">
        <f t="shared" ref="W82:X82" si="146">W75+W79</f>
        <v>-198978</v>
      </c>
      <c r="X82" s="127">
        <f t="shared" si="146"/>
        <v>166947</v>
      </c>
      <c r="Y82" s="127">
        <f t="shared" ref="Y82:AA82" si="147">Y75+Y79</f>
        <v>284833</v>
      </c>
      <c r="Z82" s="127">
        <f t="shared" si="147"/>
        <v>401269</v>
      </c>
      <c r="AA82" s="127">
        <f t="shared" si="147"/>
        <v>544426</v>
      </c>
      <c r="AB82" s="127">
        <f t="shared" ref="AB82" si="148">AB75+AB79</f>
        <v>179977</v>
      </c>
    </row>
    <row r="83" spans="2:28" ht="13" customHeight="1">
      <c r="B83" s="128" t="s">
        <v>199</v>
      </c>
      <c r="C83" s="128" t="s">
        <v>358</v>
      </c>
      <c r="D83" s="129">
        <v>1937</v>
      </c>
      <c r="E83" s="129">
        <v>8581</v>
      </c>
      <c r="F83" s="129">
        <v>10750</v>
      </c>
      <c r="G83" s="129">
        <v>12621</v>
      </c>
      <c r="H83" s="129">
        <v>3708</v>
      </c>
      <c r="I83" s="129">
        <v>5902</v>
      </c>
      <c r="J83" s="129">
        <v>9625</v>
      </c>
      <c r="K83" s="129">
        <v>12413</v>
      </c>
      <c r="L83" s="129">
        <v>-24797</v>
      </c>
      <c r="M83" s="129">
        <v>-24077</v>
      </c>
      <c r="N83" s="129">
        <v>-28935</v>
      </c>
      <c r="O83" s="129">
        <v>-39981</v>
      </c>
      <c r="P83" s="129">
        <v>-8746</v>
      </c>
      <c r="Q83" s="129">
        <v>-19345</v>
      </c>
      <c r="R83" s="129">
        <v>-32468</v>
      </c>
      <c r="S83" s="129">
        <v>-27808</v>
      </c>
      <c r="T83" s="129">
        <v>-15908</v>
      </c>
      <c r="U83" s="129">
        <v>-11324</v>
      </c>
      <c r="V83" s="129">
        <v>-14866</v>
      </c>
      <c r="W83" s="129">
        <v>-40129</v>
      </c>
      <c r="X83" s="129">
        <v>3089</v>
      </c>
      <c r="Y83" s="129">
        <v>19560</v>
      </c>
      <c r="Z83" s="129">
        <v>-20191</v>
      </c>
      <c r="AA83" s="129">
        <v>3055</v>
      </c>
      <c r="AB83" s="129">
        <v>1962</v>
      </c>
    </row>
    <row r="84" spans="2:28" ht="13" customHeight="1">
      <c r="B84" s="128" t="s">
        <v>200</v>
      </c>
      <c r="C84" s="128" t="s">
        <v>359</v>
      </c>
      <c r="D84" s="129">
        <v>-1956</v>
      </c>
      <c r="E84" s="129">
        <v>-4052</v>
      </c>
      <c r="F84" s="129">
        <v>-6245</v>
      </c>
      <c r="G84" s="129">
        <v>-8467</v>
      </c>
      <c r="H84" s="129">
        <v>-1638</v>
      </c>
      <c r="I84" s="129">
        <v>-3496</v>
      </c>
      <c r="J84" s="129">
        <v>-5238</v>
      </c>
      <c r="K84" s="129">
        <v>-7185</v>
      </c>
      <c r="L84" s="129">
        <v>-1317</v>
      </c>
      <c r="M84" s="129">
        <v>-2910</v>
      </c>
      <c r="N84" s="129">
        <v>-4369</v>
      </c>
      <c r="O84" s="129">
        <v>-6053</v>
      </c>
      <c r="P84" s="129">
        <v>-1384</v>
      </c>
      <c r="Q84" s="129">
        <v>-3131</v>
      </c>
      <c r="R84" s="129">
        <v>-4805</v>
      </c>
      <c r="S84" s="129">
        <v>-6725</v>
      </c>
      <c r="T84" s="129">
        <v>-1827</v>
      </c>
      <c r="U84" s="129">
        <v>-3866</v>
      </c>
      <c r="V84" s="129">
        <v>-5850</v>
      </c>
      <c r="W84" s="129">
        <v>-8051</v>
      </c>
      <c r="X84" s="129">
        <v>-1994</v>
      </c>
      <c r="Y84" s="129">
        <v>-4029</v>
      </c>
      <c r="Z84" s="129">
        <v>-6016</v>
      </c>
      <c r="AA84" s="129">
        <v>-8027</v>
      </c>
      <c r="AB84" s="129">
        <v>-1715</v>
      </c>
    </row>
    <row r="85" spans="2:28" ht="13" customHeight="1">
      <c r="B85" s="126" t="s">
        <v>201</v>
      </c>
      <c r="C85" s="126" t="s">
        <v>12</v>
      </c>
      <c r="D85" s="127">
        <f t="shared" ref="D85:N85" si="149">D83+D84</f>
        <v>-19</v>
      </c>
      <c r="E85" s="127">
        <f t="shared" si="149"/>
        <v>4529</v>
      </c>
      <c r="F85" s="127">
        <f t="shared" si="149"/>
        <v>4505</v>
      </c>
      <c r="G85" s="127">
        <f t="shared" si="149"/>
        <v>4154</v>
      </c>
      <c r="H85" s="127">
        <f t="shared" si="149"/>
        <v>2070</v>
      </c>
      <c r="I85" s="127">
        <f t="shared" si="149"/>
        <v>2406</v>
      </c>
      <c r="J85" s="127">
        <f t="shared" si="149"/>
        <v>4387</v>
      </c>
      <c r="K85" s="127">
        <f t="shared" si="149"/>
        <v>5228</v>
      </c>
      <c r="L85" s="127">
        <f t="shared" si="149"/>
        <v>-26114</v>
      </c>
      <c r="M85" s="127">
        <f t="shared" si="149"/>
        <v>-26987</v>
      </c>
      <c r="N85" s="127">
        <f t="shared" si="149"/>
        <v>-33304</v>
      </c>
      <c r="O85" s="127">
        <f t="shared" ref="O85:T85" si="150">O83+O84</f>
        <v>-46034</v>
      </c>
      <c r="P85" s="127">
        <f t="shared" si="150"/>
        <v>-10130</v>
      </c>
      <c r="Q85" s="127">
        <f t="shared" si="150"/>
        <v>-22476</v>
      </c>
      <c r="R85" s="127">
        <f t="shared" si="150"/>
        <v>-37273</v>
      </c>
      <c r="S85" s="127">
        <f t="shared" si="150"/>
        <v>-34533</v>
      </c>
      <c r="T85" s="127">
        <f t="shared" si="150"/>
        <v>-17735</v>
      </c>
      <c r="U85" s="127">
        <f t="shared" ref="U85:V85" si="151">U83+U84</f>
        <v>-15190</v>
      </c>
      <c r="V85" s="127">
        <f t="shared" si="151"/>
        <v>-20716</v>
      </c>
      <c r="W85" s="127">
        <f t="shared" ref="W85:X85" si="152">W83+W84</f>
        <v>-48180</v>
      </c>
      <c r="X85" s="127">
        <f t="shared" si="152"/>
        <v>1095</v>
      </c>
      <c r="Y85" s="127">
        <f t="shared" ref="Y85:AA85" si="153">Y83+Y84</f>
        <v>15531</v>
      </c>
      <c r="Z85" s="127">
        <f t="shared" si="153"/>
        <v>-26207</v>
      </c>
      <c r="AA85" s="127">
        <f t="shared" si="153"/>
        <v>-4972</v>
      </c>
      <c r="AB85" s="127">
        <f t="shared" ref="AB85" si="154">AB83+AB84</f>
        <v>247</v>
      </c>
    </row>
    <row r="86" spans="2:28" ht="13" customHeight="1">
      <c r="B86" s="128" t="s">
        <v>202</v>
      </c>
      <c r="C86" s="128" t="s">
        <v>2</v>
      </c>
      <c r="D86" s="129">
        <v>0</v>
      </c>
      <c r="E86" s="129">
        <v>94</v>
      </c>
      <c r="F86" s="129">
        <v>143</v>
      </c>
      <c r="G86" s="129">
        <v>275</v>
      </c>
      <c r="H86" s="129">
        <v>0</v>
      </c>
      <c r="I86" s="129">
        <v>173</v>
      </c>
      <c r="J86" s="129">
        <v>257</v>
      </c>
      <c r="K86" s="129">
        <v>344</v>
      </c>
      <c r="L86" s="129">
        <v>114</v>
      </c>
      <c r="M86" s="129">
        <v>221</v>
      </c>
      <c r="N86" s="129">
        <v>594</v>
      </c>
      <c r="O86" s="129">
        <v>700</v>
      </c>
      <c r="P86" s="129">
        <v>106</v>
      </c>
      <c r="Q86" s="129">
        <v>277</v>
      </c>
      <c r="R86" s="129">
        <v>397</v>
      </c>
      <c r="S86" s="129">
        <v>532</v>
      </c>
      <c r="T86" s="129">
        <v>139</v>
      </c>
      <c r="U86" s="129">
        <v>291</v>
      </c>
      <c r="V86" s="129">
        <v>448</v>
      </c>
      <c r="W86" s="129">
        <v>627</v>
      </c>
      <c r="X86" s="129">
        <v>47</v>
      </c>
      <c r="Y86" s="129">
        <v>93</v>
      </c>
      <c r="Z86" s="129">
        <v>136</v>
      </c>
      <c r="AA86" s="129">
        <v>185</v>
      </c>
      <c r="AB86" s="129">
        <v>48</v>
      </c>
    </row>
    <row r="87" spans="2:28" ht="13" customHeight="1">
      <c r="B87" s="128" t="s">
        <v>203</v>
      </c>
      <c r="C87" s="128" t="s">
        <v>16</v>
      </c>
      <c r="D87" s="129">
        <v>-6411</v>
      </c>
      <c r="E87" s="129">
        <v>4510</v>
      </c>
      <c r="F87" s="129">
        <v>11707</v>
      </c>
      <c r="G87" s="129">
        <v>10877</v>
      </c>
      <c r="H87" s="129">
        <v>7067</v>
      </c>
      <c r="I87" s="129">
        <v>8038</v>
      </c>
      <c r="J87" s="129">
        <v>7083</v>
      </c>
      <c r="K87" s="129">
        <v>44197</v>
      </c>
      <c r="L87" s="129">
        <v>-9830</v>
      </c>
      <c r="M87" s="129">
        <v>1146</v>
      </c>
      <c r="N87" s="129">
        <v>16706</v>
      </c>
      <c r="O87" s="129">
        <v>48757</v>
      </c>
      <c r="P87" s="129">
        <v>13584</v>
      </c>
      <c r="Q87" s="129">
        <v>44104</v>
      </c>
      <c r="R87" s="129">
        <v>69812</v>
      </c>
      <c r="S87" s="129">
        <v>70150</v>
      </c>
      <c r="T87" s="129">
        <v>25234</v>
      </c>
      <c r="U87" s="129">
        <v>16123</v>
      </c>
      <c r="V87" s="129">
        <v>-14390</v>
      </c>
      <c r="W87" s="129">
        <v>-12075</v>
      </c>
      <c r="X87" s="129">
        <v>4496</v>
      </c>
      <c r="Y87" s="129">
        <v>3402</v>
      </c>
      <c r="Z87" s="129">
        <v>46689</v>
      </c>
      <c r="AA87" s="129">
        <v>34456</v>
      </c>
      <c r="AB87" s="129">
        <v>6329</v>
      </c>
    </row>
    <row r="88" spans="2:28" ht="13" customHeight="1">
      <c r="B88" s="126" t="s">
        <v>204</v>
      </c>
      <c r="C88" s="126" t="s">
        <v>360</v>
      </c>
      <c r="D88" s="127">
        <f t="shared" ref="D88:N88" si="155">D89+D90</f>
        <v>11545</v>
      </c>
      <c r="E88" s="127">
        <f t="shared" si="155"/>
        <v>32794</v>
      </c>
      <c r="F88" s="127">
        <f t="shared" si="155"/>
        <v>40452</v>
      </c>
      <c r="G88" s="127">
        <f t="shared" si="155"/>
        <v>77829</v>
      </c>
      <c r="H88" s="127">
        <f t="shared" si="155"/>
        <v>17295</v>
      </c>
      <c r="I88" s="127">
        <f t="shared" si="155"/>
        <v>21758</v>
      </c>
      <c r="J88" s="127">
        <f t="shared" si="155"/>
        <v>29131</v>
      </c>
      <c r="K88" s="127">
        <f t="shared" si="155"/>
        <v>46236</v>
      </c>
      <c r="L88" s="127">
        <f t="shared" si="155"/>
        <v>29261</v>
      </c>
      <c r="M88" s="127">
        <f t="shared" si="155"/>
        <v>26618</v>
      </c>
      <c r="N88" s="127">
        <f t="shared" si="155"/>
        <v>36090</v>
      </c>
      <c r="O88" s="127">
        <f t="shared" ref="O88:T88" si="156">O89+O90</f>
        <v>84553</v>
      </c>
      <c r="P88" s="127">
        <f t="shared" si="156"/>
        <v>174</v>
      </c>
      <c r="Q88" s="127">
        <f t="shared" si="156"/>
        <v>2294</v>
      </c>
      <c r="R88" s="127">
        <f t="shared" si="156"/>
        <v>5793</v>
      </c>
      <c r="S88" s="127">
        <f t="shared" si="156"/>
        <v>5293</v>
      </c>
      <c r="T88" s="127">
        <f t="shared" si="156"/>
        <v>290</v>
      </c>
      <c r="U88" s="127">
        <f t="shared" ref="U88:V88" si="157">U89+U90</f>
        <v>1484</v>
      </c>
      <c r="V88" s="127">
        <f t="shared" si="157"/>
        <v>1655</v>
      </c>
      <c r="W88" s="127">
        <f t="shared" ref="W88:X88" si="158">W89+W90</f>
        <v>1989</v>
      </c>
      <c r="X88" s="127">
        <f t="shared" si="158"/>
        <v>2221</v>
      </c>
      <c r="Y88" s="127">
        <f t="shared" ref="Y88:AA88" si="159">Y89+Y90</f>
        <v>3765</v>
      </c>
      <c r="Z88" s="127">
        <f t="shared" si="159"/>
        <v>6690</v>
      </c>
      <c r="AA88" s="127">
        <f t="shared" si="159"/>
        <v>12251</v>
      </c>
      <c r="AB88" s="127">
        <f t="shared" ref="AB88" si="160">AB89+AB90</f>
        <v>897</v>
      </c>
    </row>
    <row r="89" spans="2:28" ht="13" customHeight="1">
      <c r="B89" s="128" t="s">
        <v>205</v>
      </c>
      <c r="C89" s="128" t="s">
        <v>361</v>
      </c>
      <c r="D89" s="129">
        <v>11185</v>
      </c>
      <c r="E89" s="129">
        <v>32112</v>
      </c>
      <c r="F89" s="129">
        <v>39432</v>
      </c>
      <c r="G89" s="129">
        <v>76473</v>
      </c>
      <c r="H89" s="129">
        <v>10423</v>
      </c>
      <c r="I89" s="129">
        <v>14700</v>
      </c>
      <c r="J89" s="129">
        <v>21700</v>
      </c>
      <c r="K89" s="129">
        <v>38807</v>
      </c>
      <c r="L89" s="129">
        <v>5547</v>
      </c>
      <c r="M89" s="129">
        <v>2807</v>
      </c>
      <c r="N89" s="129">
        <v>12216</v>
      </c>
      <c r="O89" s="129">
        <v>60607</v>
      </c>
      <c r="P89" s="128">
        <v>61</v>
      </c>
      <c r="Q89" s="129">
        <v>318</v>
      </c>
      <c r="R89" s="129">
        <v>3789</v>
      </c>
      <c r="S89" s="129">
        <v>3246</v>
      </c>
      <c r="T89" s="128">
        <v>218</v>
      </c>
      <c r="U89" s="129">
        <v>1212</v>
      </c>
      <c r="V89" s="129">
        <v>1218</v>
      </c>
      <c r="W89" s="129">
        <v>1218</v>
      </c>
      <c r="X89" s="129">
        <v>2068</v>
      </c>
      <c r="Y89" s="129">
        <v>3507</v>
      </c>
      <c r="Z89" s="129">
        <v>6181</v>
      </c>
      <c r="AA89" s="129">
        <v>10346</v>
      </c>
      <c r="AB89" s="129">
        <v>712</v>
      </c>
    </row>
    <row r="90" spans="2:28" ht="13" customHeight="1">
      <c r="B90" s="128" t="s">
        <v>206</v>
      </c>
      <c r="C90" s="128" t="s">
        <v>14</v>
      </c>
      <c r="D90" s="129">
        <v>360</v>
      </c>
      <c r="E90" s="129">
        <v>682</v>
      </c>
      <c r="F90" s="129">
        <v>1020</v>
      </c>
      <c r="G90" s="129">
        <v>1356</v>
      </c>
      <c r="H90" s="129">
        <v>6872</v>
      </c>
      <c r="I90" s="129">
        <v>7058</v>
      </c>
      <c r="J90" s="129">
        <v>7431</v>
      </c>
      <c r="K90" s="129">
        <v>7429</v>
      </c>
      <c r="L90" s="129">
        <v>23714</v>
      </c>
      <c r="M90" s="129">
        <v>23811</v>
      </c>
      <c r="N90" s="129">
        <v>23874</v>
      </c>
      <c r="O90" s="129">
        <v>23946</v>
      </c>
      <c r="P90" s="128">
        <v>113</v>
      </c>
      <c r="Q90" s="129">
        <v>1976</v>
      </c>
      <c r="R90" s="129">
        <v>2004</v>
      </c>
      <c r="S90" s="129">
        <v>2047</v>
      </c>
      <c r="T90" s="128">
        <v>72</v>
      </c>
      <c r="U90" s="129">
        <v>272</v>
      </c>
      <c r="V90" s="129">
        <v>437</v>
      </c>
      <c r="W90" s="129">
        <v>771</v>
      </c>
      <c r="X90" s="129">
        <v>153</v>
      </c>
      <c r="Y90" s="129">
        <v>258</v>
      </c>
      <c r="Z90" s="129">
        <v>509</v>
      </c>
      <c r="AA90" s="129">
        <v>1905</v>
      </c>
      <c r="AB90" s="129">
        <v>185</v>
      </c>
    </row>
    <row r="91" spans="2:28" ht="13" customHeight="1">
      <c r="B91" s="128" t="s">
        <v>207</v>
      </c>
      <c r="C91" s="128" t="s">
        <v>6</v>
      </c>
      <c r="D91" s="129">
        <v>0</v>
      </c>
      <c r="E91" s="129">
        <v>0</v>
      </c>
      <c r="F91" s="129">
        <v>0</v>
      </c>
      <c r="G91" s="129">
        <v>0</v>
      </c>
      <c r="H91" s="129">
        <v>25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  <c r="X91" s="129">
        <v>0</v>
      </c>
      <c r="Y91" s="129">
        <v>0</v>
      </c>
      <c r="Z91" s="129">
        <v>0</v>
      </c>
      <c r="AA91" s="129">
        <v>0</v>
      </c>
      <c r="AB91" s="129">
        <v>0</v>
      </c>
    </row>
    <row r="92" spans="2:28" ht="13" customHeight="1">
      <c r="B92" s="128" t="s">
        <v>362</v>
      </c>
      <c r="C92" s="128" t="s">
        <v>7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  <c r="X92" s="129">
        <v>0</v>
      </c>
      <c r="Y92" s="129">
        <v>0</v>
      </c>
      <c r="Z92" s="129">
        <v>0</v>
      </c>
      <c r="AA92" s="129">
        <v>0</v>
      </c>
      <c r="AB92" s="129">
        <v>0</v>
      </c>
    </row>
    <row r="93" spans="2:28" ht="13" customHeight="1">
      <c r="B93" s="126" t="s">
        <v>363</v>
      </c>
      <c r="C93" s="126" t="s">
        <v>8</v>
      </c>
      <c r="D93" s="127">
        <f t="shared" ref="D93:N93" si="161">D91+D92</f>
        <v>0</v>
      </c>
      <c r="E93" s="127">
        <f t="shared" si="161"/>
        <v>0</v>
      </c>
      <c r="F93" s="127">
        <f t="shared" si="161"/>
        <v>0</v>
      </c>
      <c r="G93" s="127">
        <f t="shared" si="161"/>
        <v>0</v>
      </c>
      <c r="H93" s="127">
        <f t="shared" si="161"/>
        <v>25</v>
      </c>
      <c r="I93" s="127">
        <f t="shared" si="161"/>
        <v>0</v>
      </c>
      <c r="J93" s="127">
        <f t="shared" si="161"/>
        <v>0</v>
      </c>
      <c r="K93" s="127">
        <f t="shared" si="161"/>
        <v>0</v>
      </c>
      <c r="L93" s="127">
        <f t="shared" si="161"/>
        <v>0</v>
      </c>
      <c r="M93" s="127">
        <f t="shared" si="161"/>
        <v>0</v>
      </c>
      <c r="N93" s="127">
        <f t="shared" si="161"/>
        <v>0</v>
      </c>
      <c r="O93" s="127">
        <f t="shared" ref="O93:T93" si="162">O91+O92</f>
        <v>0</v>
      </c>
      <c r="P93" s="127">
        <f t="shared" si="162"/>
        <v>0</v>
      </c>
      <c r="Q93" s="127">
        <f t="shared" si="162"/>
        <v>0</v>
      </c>
      <c r="R93" s="127">
        <f t="shared" si="162"/>
        <v>0</v>
      </c>
      <c r="S93" s="127">
        <f t="shared" si="162"/>
        <v>0</v>
      </c>
      <c r="T93" s="127">
        <f t="shared" si="162"/>
        <v>0</v>
      </c>
      <c r="U93" s="127">
        <f t="shared" ref="U93:W93" si="163">U91+U92</f>
        <v>0</v>
      </c>
      <c r="V93" s="127">
        <f t="shared" si="163"/>
        <v>0</v>
      </c>
      <c r="W93" s="127">
        <f t="shared" si="163"/>
        <v>0</v>
      </c>
      <c r="X93" s="127">
        <f t="shared" ref="X93:Y93" si="164">X91+X92</f>
        <v>0</v>
      </c>
      <c r="Y93" s="127">
        <f t="shared" si="164"/>
        <v>0</v>
      </c>
      <c r="Z93" s="127">
        <f t="shared" ref="Z93:AA93" si="165">Z91+Z92</f>
        <v>0</v>
      </c>
      <c r="AA93" s="127">
        <f t="shared" si="165"/>
        <v>0</v>
      </c>
      <c r="AB93" s="127">
        <f t="shared" ref="AB93" si="166">AB91+AB92</f>
        <v>0</v>
      </c>
    </row>
    <row r="94" spans="2:28" ht="13" customHeight="1">
      <c r="B94" s="130" t="s">
        <v>518</v>
      </c>
      <c r="C94" s="126" t="s">
        <v>514</v>
      </c>
      <c r="D94" s="127">
        <f>D82+D85+D88+D93+D87</f>
        <v>27736</v>
      </c>
      <c r="E94" s="127">
        <f t="shared" ref="E94:O94" si="167">E82+E85+E88+E93+E87+E86</f>
        <v>70603</v>
      </c>
      <c r="F94" s="127">
        <f t="shared" si="167"/>
        <v>117865</v>
      </c>
      <c r="G94" s="127">
        <f t="shared" si="167"/>
        <v>393706</v>
      </c>
      <c r="H94" s="127">
        <f t="shared" si="167"/>
        <v>101862</v>
      </c>
      <c r="I94" s="127">
        <f t="shared" si="167"/>
        <v>177506</v>
      </c>
      <c r="J94" s="127">
        <f t="shared" si="167"/>
        <v>209406</v>
      </c>
      <c r="K94" s="127">
        <f t="shared" si="167"/>
        <v>398730</v>
      </c>
      <c r="L94" s="127">
        <f t="shared" si="167"/>
        <v>86999</v>
      </c>
      <c r="M94" s="127">
        <f t="shared" si="167"/>
        <v>195950</v>
      </c>
      <c r="N94" s="127">
        <f t="shared" si="167"/>
        <v>299866</v>
      </c>
      <c r="O94" s="127">
        <f t="shared" si="167"/>
        <v>371642</v>
      </c>
      <c r="P94" s="127">
        <f t="shared" ref="P94:U94" si="168">P82+P85+P88+P93+P87+P86</f>
        <v>41768</v>
      </c>
      <c r="Q94" s="127">
        <f t="shared" si="168"/>
        <v>80329</v>
      </c>
      <c r="R94" s="127">
        <f t="shared" si="168"/>
        <v>127169</v>
      </c>
      <c r="S94" s="127">
        <f t="shared" si="168"/>
        <v>103234</v>
      </c>
      <c r="T94" s="127">
        <f t="shared" si="168"/>
        <v>-2310</v>
      </c>
      <c r="U94" s="127">
        <f t="shared" si="168"/>
        <v>-117932</v>
      </c>
      <c r="V94" s="127">
        <f t="shared" ref="V94:W94" si="169">V82+V85+V88+V93+V87+V86</f>
        <v>-201830</v>
      </c>
      <c r="W94" s="127">
        <f t="shared" si="169"/>
        <v>-256617</v>
      </c>
      <c r="X94" s="127">
        <f t="shared" ref="X94:Y94" si="170">X82+X85+X88+X93+X87+X86</f>
        <v>174806</v>
      </c>
      <c r="Y94" s="127">
        <f t="shared" si="170"/>
        <v>307624</v>
      </c>
      <c r="Z94" s="127">
        <f t="shared" ref="Z94:AA94" si="171">Z82+Z85+Z88+Z93+Z87+Z86</f>
        <v>428577</v>
      </c>
      <c r="AA94" s="127">
        <f t="shared" si="171"/>
        <v>586346</v>
      </c>
      <c r="AB94" s="127">
        <f t="shared" ref="AB94" si="172">AB82+AB85+AB88+AB93+AB87+AB86</f>
        <v>187498</v>
      </c>
    </row>
    <row r="95" spans="2:28" ht="13" customHeight="1">
      <c r="B95" s="128" t="s">
        <v>340</v>
      </c>
      <c r="C95" s="128" t="s">
        <v>638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  <c r="Y95" s="129">
        <v>0</v>
      </c>
      <c r="Z95" s="129">
        <v>0</v>
      </c>
      <c r="AA95" s="129">
        <v>0</v>
      </c>
      <c r="AB95" s="129">
        <v>0</v>
      </c>
    </row>
    <row r="96" spans="2:28" ht="13" customHeight="1">
      <c r="B96" s="128" t="s">
        <v>364</v>
      </c>
      <c r="C96" s="128" t="s">
        <v>341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  <c r="X96" s="129">
        <v>0</v>
      </c>
      <c r="Y96" s="129">
        <v>0</v>
      </c>
      <c r="Z96" s="129">
        <v>0</v>
      </c>
      <c r="AA96" s="129">
        <v>0</v>
      </c>
      <c r="AB96" s="129">
        <v>0</v>
      </c>
    </row>
    <row r="97" spans="2:28" ht="13" customHeight="1">
      <c r="B97" s="128" t="s">
        <v>464</v>
      </c>
      <c r="C97" s="128" t="s">
        <v>463</v>
      </c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>
        <v>0</v>
      </c>
      <c r="T97" s="129">
        <v>0</v>
      </c>
      <c r="U97" s="129">
        <v>0</v>
      </c>
      <c r="V97" s="129">
        <v>0</v>
      </c>
      <c r="W97" s="129">
        <v>0</v>
      </c>
      <c r="X97" s="129">
        <v>0</v>
      </c>
      <c r="Y97" s="129">
        <v>0</v>
      </c>
      <c r="Z97" s="129">
        <v>0</v>
      </c>
      <c r="AA97" s="129">
        <v>0</v>
      </c>
      <c r="AB97" s="129">
        <v>0</v>
      </c>
    </row>
    <row r="98" spans="2:28" ht="13" customHeight="1">
      <c r="B98" s="126" t="s">
        <v>519</v>
      </c>
      <c r="C98" s="126" t="s">
        <v>515</v>
      </c>
      <c r="D98" s="127">
        <f t="shared" ref="D98:N98" si="173">D94+D95+D96</f>
        <v>27736</v>
      </c>
      <c r="E98" s="127">
        <f t="shared" si="173"/>
        <v>70603</v>
      </c>
      <c r="F98" s="127">
        <f t="shared" si="173"/>
        <v>117865</v>
      </c>
      <c r="G98" s="127">
        <f t="shared" si="173"/>
        <v>393706</v>
      </c>
      <c r="H98" s="127">
        <f t="shared" si="173"/>
        <v>101862</v>
      </c>
      <c r="I98" s="127">
        <f t="shared" si="173"/>
        <v>177506</v>
      </c>
      <c r="J98" s="127">
        <f t="shared" si="173"/>
        <v>209406</v>
      </c>
      <c r="K98" s="127">
        <f t="shared" si="173"/>
        <v>398730</v>
      </c>
      <c r="L98" s="127">
        <f t="shared" si="173"/>
        <v>86999</v>
      </c>
      <c r="M98" s="127">
        <f t="shared" si="173"/>
        <v>195950</v>
      </c>
      <c r="N98" s="127">
        <f t="shared" si="173"/>
        <v>299866</v>
      </c>
      <c r="O98" s="127">
        <f t="shared" ref="O98:T98" si="174">O94+O95+O96</f>
        <v>371642</v>
      </c>
      <c r="P98" s="127">
        <f t="shared" si="174"/>
        <v>41768</v>
      </c>
      <c r="Q98" s="127">
        <f t="shared" si="174"/>
        <v>80329</v>
      </c>
      <c r="R98" s="127">
        <f t="shared" si="174"/>
        <v>127169</v>
      </c>
      <c r="S98" s="127">
        <f t="shared" si="174"/>
        <v>103234</v>
      </c>
      <c r="T98" s="127">
        <f t="shared" si="174"/>
        <v>-2310</v>
      </c>
      <c r="U98" s="127">
        <f t="shared" ref="U98:V98" si="175">U94+U95+U96</f>
        <v>-117932</v>
      </c>
      <c r="V98" s="127">
        <f t="shared" si="175"/>
        <v>-201830</v>
      </c>
      <c r="W98" s="127">
        <f t="shared" ref="W98:X98" si="176">W94+W95+W96</f>
        <v>-256617</v>
      </c>
      <c r="X98" s="127">
        <f t="shared" si="176"/>
        <v>174806</v>
      </c>
      <c r="Y98" s="127">
        <f t="shared" ref="Y98:AA98" si="177">Y94+Y95+Y96</f>
        <v>307624</v>
      </c>
      <c r="Z98" s="127">
        <f t="shared" si="177"/>
        <v>428577</v>
      </c>
      <c r="AA98" s="127">
        <f t="shared" si="177"/>
        <v>586346</v>
      </c>
      <c r="AB98" s="127">
        <f t="shared" ref="AB98" si="178">AB94+AB95+AB96</f>
        <v>187498</v>
      </c>
    </row>
    <row r="99" spans="2:28" ht="13" customHeight="1">
      <c r="B99" s="128" t="s">
        <v>210</v>
      </c>
      <c r="C99" s="128" t="s">
        <v>319</v>
      </c>
      <c r="D99" s="129">
        <v>-1317</v>
      </c>
      <c r="E99" s="129">
        <v>-2558</v>
      </c>
      <c r="F99" s="129">
        <v>-3765</v>
      </c>
      <c r="G99" s="129">
        <v>-4957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  <c r="X99" s="129">
        <v>0</v>
      </c>
      <c r="Y99" s="129">
        <v>0</v>
      </c>
      <c r="Z99" s="129">
        <v>0</v>
      </c>
      <c r="AA99" s="129">
        <v>0</v>
      </c>
      <c r="AB99" s="129">
        <v>0</v>
      </c>
    </row>
    <row r="100" spans="2:28" ht="13" customHeight="1">
      <c r="B100" s="126" t="s">
        <v>212</v>
      </c>
      <c r="C100" s="126" t="s">
        <v>516</v>
      </c>
      <c r="D100" s="127">
        <f t="shared" ref="D100:N100" si="179">D98+D99</f>
        <v>26419</v>
      </c>
      <c r="E100" s="127">
        <f t="shared" si="179"/>
        <v>68045</v>
      </c>
      <c r="F100" s="127">
        <f t="shared" si="179"/>
        <v>114100</v>
      </c>
      <c r="G100" s="127">
        <f t="shared" si="179"/>
        <v>388749</v>
      </c>
      <c r="H100" s="127">
        <f t="shared" si="179"/>
        <v>101862</v>
      </c>
      <c r="I100" s="127">
        <f t="shared" si="179"/>
        <v>177506</v>
      </c>
      <c r="J100" s="127">
        <f t="shared" si="179"/>
        <v>209406</v>
      </c>
      <c r="K100" s="127">
        <f t="shared" si="179"/>
        <v>398730</v>
      </c>
      <c r="L100" s="127">
        <f t="shared" si="179"/>
        <v>86999</v>
      </c>
      <c r="M100" s="127">
        <f t="shared" si="179"/>
        <v>195950</v>
      </c>
      <c r="N100" s="127">
        <f t="shared" si="179"/>
        <v>299866</v>
      </c>
      <c r="O100" s="127">
        <f t="shared" ref="O100:T100" si="180">O98+O99</f>
        <v>371642</v>
      </c>
      <c r="P100" s="127">
        <f t="shared" si="180"/>
        <v>41768</v>
      </c>
      <c r="Q100" s="127">
        <f t="shared" si="180"/>
        <v>80329</v>
      </c>
      <c r="R100" s="127">
        <f t="shared" si="180"/>
        <v>127169</v>
      </c>
      <c r="S100" s="127">
        <f t="shared" si="180"/>
        <v>103234</v>
      </c>
      <c r="T100" s="127">
        <f t="shared" si="180"/>
        <v>-2310</v>
      </c>
      <c r="U100" s="127">
        <f t="shared" ref="U100:V100" si="181">U98+U99</f>
        <v>-117932</v>
      </c>
      <c r="V100" s="127">
        <f t="shared" si="181"/>
        <v>-201830</v>
      </c>
      <c r="W100" s="127">
        <f t="shared" ref="W100:X100" si="182">W98+W99</f>
        <v>-256617</v>
      </c>
      <c r="X100" s="127">
        <f t="shared" si="182"/>
        <v>174806</v>
      </c>
      <c r="Y100" s="127">
        <f t="shared" ref="Y100:AA100" si="183">Y98+Y99</f>
        <v>307624</v>
      </c>
      <c r="Z100" s="127">
        <f t="shared" si="183"/>
        <v>428577</v>
      </c>
      <c r="AA100" s="127">
        <f t="shared" si="183"/>
        <v>586346</v>
      </c>
      <c r="AB100" s="127">
        <f t="shared" ref="AB100" si="184">AB98+AB99</f>
        <v>187498</v>
      </c>
    </row>
    <row r="101" spans="2:28" ht="13" customHeight="1">
      <c r="B101" s="128" t="s">
        <v>213</v>
      </c>
      <c r="C101" s="128" t="s">
        <v>9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  <c r="X101" s="129">
        <v>0</v>
      </c>
      <c r="Y101" s="129">
        <v>0</v>
      </c>
      <c r="Z101" s="129">
        <v>0</v>
      </c>
      <c r="AA101" s="129">
        <v>0</v>
      </c>
      <c r="AB101" s="129">
        <v>0</v>
      </c>
    </row>
    <row r="102" spans="2:28" ht="13" customHeight="1">
      <c r="B102" s="126" t="s">
        <v>520</v>
      </c>
      <c r="C102" s="126" t="s">
        <v>517</v>
      </c>
      <c r="D102" s="127">
        <f t="shared" ref="D102:N102" si="185">D100+D101</f>
        <v>26419</v>
      </c>
      <c r="E102" s="127">
        <f t="shared" si="185"/>
        <v>68045</v>
      </c>
      <c r="F102" s="127">
        <f t="shared" si="185"/>
        <v>114100</v>
      </c>
      <c r="G102" s="127">
        <f t="shared" si="185"/>
        <v>388749</v>
      </c>
      <c r="H102" s="127">
        <f t="shared" si="185"/>
        <v>101862</v>
      </c>
      <c r="I102" s="127">
        <f t="shared" si="185"/>
        <v>177506</v>
      </c>
      <c r="J102" s="127">
        <f t="shared" si="185"/>
        <v>209406</v>
      </c>
      <c r="K102" s="127">
        <f t="shared" si="185"/>
        <v>398730</v>
      </c>
      <c r="L102" s="127">
        <f t="shared" si="185"/>
        <v>86999</v>
      </c>
      <c r="M102" s="127">
        <f t="shared" si="185"/>
        <v>195950</v>
      </c>
      <c r="N102" s="127">
        <f t="shared" si="185"/>
        <v>299866</v>
      </c>
      <c r="O102" s="127">
        <f t="shared" ref="O102:T102" si="186">O100+O101</f>
        <v>371642</v>
      </c>
      <c r="P102" s="127">
        <f t="shared" si="186"/>
        <v>41768</v>
      </c>
      <c r="Q102" s="127">
        <f t="shared" si="186"/>
        <v>80329</v>
      </c>
      <c r="R102" s="127">
        <f t="shared" si="186"/>
        <v>127169</v>
      </c>
      <c r="S102" s="127">
        <f t="shared" si="186"/>
        <v>103234</v>
      </c>
      <c r="T102" s="127">
        <f t="shared" si="186"/>
        <v>-2310</v>
      </c>
      <c r="U102" s="127">
        <f t="shared" ref="U102:V102" si="187">U100+U101</f>
        <v>-117932</v>
      </c>
      <c r="V102" s="127">
        <f t="shared" si="187"/>
        <v>-201830</v>
      </c>
      <c r="W102" s="127">
        <f t="shared" ref="W102:X102" si="188">W100+W101</f>
        <v>-256617</v>
      </c>
      <c r="X102" s="127">
        <f t="shared" si="188"/>
        <v>174806</v>
      </c>
      <c r="Y102" s="127">
        <f t="shared" ref="Y102:AA102" si="189">Y100+Y101</f>
        <v>307624</v>
      </c>
      <c r="Z102" s="127">
        <f t="shared" si="189"/>
        <v>428577</v>
      </c>
      <c r="AA102" s="127">
        <f t="shared" si="189"/>
        <v>586346</v>
      </c>
      <c r="AB102" s="127">
        <f t="shared" ref="AB102" si="190">AB100+AB101</f>
        <v>187498</v>
      </c>
    </row>
    <row r="103" spans="2:28" ht="13" customHeight="1">
      <c r="B103" s="128" t="s">
        <v>490</v>
      </c>
      <c r="C103" s="128" t="s">
        <v>325</v>
      </c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</row>
    <row r="104" spans="2:28" ht="13" customHeight="1">
      <c r="B104" s="126" t="s">
        <v>489</v>
      </c>
      <c r="C104" s="126" t="s">
        <v>365</v>
      </c>
      <c r="D104" s="127">
        <f>D102+D103</f>
        <v>26419</v>
      </c>
      <c r="E104" s="127">
        <f t="shared" ref="E104:R104" si="191">E102+E103</f>
        <v>68045</v>
      </c>
      <c r="F104" s="127">
        <f t="shared" si="191"/>
        <v>114100</v>
      </c>
      <c r="G104" s="127">
        <f t="shared" si="191"/>
        <v>388749</v>
      </c>
      <c r="H104" s="127">
        <f t="shared" si="191"/>
        <v>101862</v>
      </c>
      <c r="I104" s="127">
        <f t="shared" si="191"/>
        <v>177506</v>
      </c>
      <c r="J104" s="127">
        <f t="shared" si="191"/>
        <v>209406</v>
      </c>
      <c r="K104" s="127">
        <f t="shared" si="191"/>
        <v>398730</v>
      </c>
      <c r="L104" s="127">
        <f t="shared" si="191"/>
        <v>86999</v>
      </c>
      <c r="M104" s="127">
        <f t="shared" si="191"/>
        <v>195950</v>
      </c>
      <c r="N104" s="127">
        <f t="shared" si="191"/>
        <v>299866</v>
      </c>
      <c r="O104" s="127">
        <f t="shared" si="191"/>
        <v>371642</v>
      </c>
      <c r="P104" s="127">
        <f t="shared" si="191"/>
        <v>41768</v>
      </c>
      <c r="Q104" s="127">
        <f t="shared" si="191"/>
        <v>80329</v>
      </c>
      <c r="R104" s="127">
        <f t="shared" si="191"/>
        <v>127169</v>
      </c>
      <c r="S104" s="127">
        <f>S102+S103</f>
        <v>103234</v>
      </c>
      <c r="T104" s="127">
        <f t="shared" ref="T104:U104" si="192">T102+T103</f>
        <v>-2310</v>
      </c>
      <c r="U104" s="127">
        <f t="shared" si="192"/>
        <v>-117932</v>
      </c>
      <c r="V104" s="127">
        <f t="shared" ref="V104:W104" si="193">V102+V103</f>
        <v>-201830</v>
      </c>
      <c r="W104" s="127">
        <f t="shared" si="193"/>
        <v>-256617</v>
      </c>
      <c r="X104" s="127">
        <f t="shared" ref="X104:Y104" si="194">X102+X103</f>
        <v>174806</v>
      </c>
      <c r="Y104" s="127">
        <f t="shared" si="194"/>
        <v>307624</v>
      </c>
      <c r="Z104" s="127">
        <f t="shared" ref="Z104:AA104" si="195">Z102+Z103</f>
        <v>428577</v>
      </c>
      <c r="AA104" s="127">
        <f t="shared" si="195"/>
        <v>586346</v>
      </c>
      <c r="AB104" s="127">
        <f t="shared" ref="AB104" si="196">AB102+AB103</f>
        <v>187498</v>
      </c>
    </row>
    <row r="105" spans="2:28" ht="13" customHeight="1">
      <c r="B105" s="128" t="s">
        <v>366</v>
      </c>
      <c r="C105" s="128" t="s">
        <v>130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8">
        <v>0</v>
      </c>
      <c r="L105" s="128">
        <v>0</v>
      </c>
      <c r="M105" s="129">
        <v>0</v>
      </c>
      <c r="N105" s="129">
        <v>0</v>
      </c>
      <c r="O105" s="128">
        <v>0</v>
      </c>
      <c r="P105" s="128">
        <v>0</v>
      </c>
      <c r="Q105" s="129">
        <v>0</v>
      </c>
      <c r="R105" s="129">
        <v>0</v>
      </c>
      <c r="S105" s="129">
        <v>0</v>
      </c>
      <c r="T105" s="128">
        <v>0</v>
      </c>
      <c r="U105" s="129">
        <v>0</v>
      </c>
      <c r="V105" s="129">
        <v>0</v>
      </c>
      <c r="W105" s="129">
        <v>0</v>
      </c>
      <c r="X105" s="129">
        <v>0</v>
      </c>
      <c r="Y105" s="129">
        <v>0</v>
      </c>
      <c r="Z105" s="129">
        <v>0</v>
      </c>
      <c r="AA105" s="129">
        <v>0</v>
      </c>
      <c r="AB105" s="129">
        <v>0</v>
      </c>
    </row>
    <row r="106" spans="2:28" ht="13" customHeight="1">
      <c r="B106" s="128" t="s">
        <v>367</v>
      </c>
      <c r="C106" s="128" t="s">
        <v>35</v>
      </c>
      <c r="D106" s="129">
        <v>46944</v>
      </c>
      <c r="E106" s="129">
        <v>44057</v>
      </c>
      <c r="F106" s="129">
        <v>43910</v>
      </c>
      <c r="G106" s="129">
        <v>46985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29">
        <v>0</v>
      </c>
      <c r="V106" s="129">
        <v>0</v>
      </c>
      <c r="W106" s="129">
        <v>0</v>
      </c>
      <c r="X106" s="129">
        <v>0</v>
      </c>
      <c r="Y106" s="129">
        <v>0</v>
      </c>
      <c r="Z106" s="129">
        <v>0</v>
      </c>
      <c r="AA106" s="129">
        <v>0</v>
      </c>
      <c r="AB106" s="129">
        <v>0</v>
      </c>
    </row>
    <row r="107" spans="2:28" ht="13" customHeight="1">
      <c r="B107" s="128" t="s">
        <v>368</v>
      </c>
      <c r="C107" s="128" t="s">
        <v>369</v>
      </c>
      <c r="D107" s="129">
        <v>13347</v>
      </c>
      <c r="E107" s="129">
        <v>11431</v>
      </c>
      <c r="F107" s="129">
        <v>11898</v>
      </c>
      <c r="G107" s="129">
        <v>10951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29">
        <v>0</v>
      </c>
      <c r="X107" s="129">
        <v>0</v>
      </c>
      <c r="Y107" s="129">
        <v>0</v>
      </c>
      <c r="Z107" s="129">
        <v>0</v>
      </c>
      <c r="AA107" s="129">
        <v>0</v>
      </c>
      <c r="AB107" s="129">
        <v>0</v>
      </c>
    </row>
    <row r="108" spans="2:28" ht="13" customHeight="1">
      <c r="Q108" s="106"/>
      <c r="R108" s="106"/>
      <c r="S108" s="106"/>
      <c r="U108" s="106"/>
      <c r="V108" s="106"/>
      <c r="W108" s="106"/>
      <c r="X108" s="106"/>
      <c r="Y108" s="106"/>
      <c r="Z108" s="106"/>
      <c r="AA108" s="106"/>
      <c r="AB108" s="106"/>
    </row>
    <row r="109" spans="2:28" ht="13" customHeight="1">
      <c r="B109" s="103" t="s">
        <v>373</v>
      </c>
      <c r="C109" s="103" t="s">
        <v>374</v>
      </c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7"/>
      <c r="R109" s="107"/>
      <c r="S109" s="107"/>
      <c r="T109" s="104"/>
      <c r="U109" s="107"/>
      <c r="V109" s="107"/>
      <c r="W109" s="107"/>
      <c r="X109" s="107"/>
      <c r="Y109" s="107"/>
      <c r="Z109" s="107"/>
      <c r="AA109" s="107"/>
      <c r="AB109" s="107"/>
    </row>
    <row r="110" spans="2:28" ht="13" customHeight="1">
      <c r="B110" s="126" t="s">
        <v>344</v>
      </c>
      <c r="C110" s="126" t="s">
        <v>345</v>
      </c>
      <c r="D110" s="127">
        <f t="shared" ref="D110:O110" si="197">D111+D112+D113</f>
        <v>737652</v>
      </c>
      <c r="E110" s="127">
        <f t="shared" si="197"/>
        <v>1500940</v>
      </c>
      <c r="F110" s="127">
        <f t="shared" si="197"/>
        <v>2283636</v>
      </c>
      <c r="G110" s="127">
        <f t="shared" si="197"/>
        <v>3084524</v>
      </c>
      <c r="H110" s="127">
        <f t="shared" si="197"/>
        <v>803807</v>
      </c>
      <c r="I110" s="127">
        <f t="shared" si="197"/>
        <v>1633661</v>
      </c>
      <c r="J110" s="127">
        <f t="shared" si="197"/>
        <v>2436672</v>
      </c>
      <c r="K110" s="127">
        <f t="shared" si="197"/>
        <v>3184344</v>
      </c>
      <c r="L110" s="127">
        <f t="shared" si="197"/>
        <v>776884</v>
      </c>
      <c r="M110" s="127">
        <f t="shared" si="197"/>
        <v>1498865</v>
      </c>
      <c r="N110" s="127">
        <f t="shared" si="197"/>
        <v>2181980</v>
      </c>
      <c r="O110" s="127">
        <f t="shared" si="197"/>
        <v>2848726</v>
      </c>
      <c r="P110" s="127">
        <f t="shared" ref="P110:U110" si="198">P111+P112+P113</f>
        <v>670178</v>
      </c>
      <c r="Q110" s="127">
        <f t="shared" si="198"/>
        <v>1336837</v>
      </c>
      <c r="R110" s="127">
        <f t="shared" si="198"/>
        <v>2040357</v>
      </c>
      <c r="S110" s="127">
        <f t="shared" si="198"/>
        <v>2798234</v>
      </c>
      <c r="T110" s="127">
        <f t="shared" si="198"/>
        <v>862351</v>
      </c>
      <c r="U110" s="127">
        <f t="shared" si="198"/>
        <v>1834112</v>
      </c>
      <c r="V110" s="127">
        <f t="shared" ref="V110:W110" si="199">V111+V112+V113</f>
        <v>2420787</v>
      </c>
      <c r="W110" s="127">
        <f t="shared" si="199"/>
        <v>3559871</v>
      </c>
      <c r="X110" s="127">
        <f t="shared" ref="X110:Y110" si="200">X111+X112+X113</f>
        <v>1103062</v>
      </c>
      <c r="Y110" s="127">
        <f t="shared" si="200"/>
        <v>2263941</v>
      </c>
      <c r="Z110" s="127">
        <f t="shared" ref="Z110:AA110" si="201">Z111+Z112+Z113</f>
        <v>3483178</v>
      </c>
      <c r="AA110" s="127">
        <f t="shared" si="201"/>
        <v>4772370</v>
      </c>
      <c r="AB110" s="127">
        <f t="shared" ref="AB110" si="202">AB111+AB112+AB113</f>
        <v>1269409</v>
      </c>
    </row>
    <row r="111" spans="2:28" ht="13" customHeight="1">
      <c r="B111" s="128" t="s">
        <v>346</v>
      </c>
      <c r="C111" s="128" t="s">
        <v>347</v>
      </c>
      <c r="D111" s="129">
        <f t="shared" ref="D111:S111" si="203">D6+D41+D76</f>
        <v>912897</v>
      </c>
      <c r="E111" s="129">
        <f t="shared" si="203"/>
        <v>1852496</v>
      </c>
      <c r="F111" s="129">
        <f t="shared" si="203"/>
        <v>2810476</v>
      </c>
      <c r="G111" s="129">
        <f t="shared" si="203"/>
        <v>3805457</v>
      </c>
      <c r="H111" s="129">
        <f t="shared" si="203"/>
        <v>986612</v>
      </c>
      <c r="I111" s="129">
        <f t="shared" si="203"/>
        <v>1998196</v>
      </c>
      <c r="J111" s="129">
        <f t="shared" si="203"/>
        <v>2983371</v>
      </c>
      <c r="K111" s="129">
        <f t="shared" si="203"/>
        <v>3908665</v>
      </c>
      <c r="L111" s="129">
        <f t="shared" si="203"/>
        <v>937951</v>
      </c>
      <c r="M111" s="129">
        <f t="shared" si="203"/>
        <v>1756968</v>
      </c>
      <c r="N111" s="129">
        <f t="shared" si="203"/>
        <v>2483553</v>
      </c>
      <c r="O111" s="129">
        <f t="shared" si="203"/>
        <v>3159045</v>
      </c>
      <c r="P111" s="129">
        <f t="shared" si="203"/>
        <v>682536</v>
      </c>
      <c r="Q111" s="129">
        <f t="shared" si="203"/>
        <v>1351668</v>
      </c>
      <c r="R111" s="129">
        <f t="shared" si="203"/>
        <v>2049239</v>
      </c>
      <c r="S111" s="129">
        <f t="shared" si="203"/>
        <v>2837304</v>
      </c>
      <c r="T111" s="129">
        <f>T6+T41+T76</f>
        <v>1023103</v>
      </c>
      <c r="U111" s="129">
        <f t="shared" ref="U111:V111" si="204">U6+U41+U76</f>
        <v>2362609</v>
      </c>
      <c r="V111" s="129">
        <f t="shared" si="204"/>
        <v>3518060</v>
      </c>
      <c r="W111" s="129">
        <f t="shared" ref="W111:X111" si="205">W6+W41+W76</f>
        <v>4962625</v>
      </c>
      <c r="X111" s="129">
        <f t="shared" si="205"/>
        <v>1661479</v>
      </c>
      <c r="Y111" s="129">
        <f t="shared" ref="Y111:AA111" si="206">Y6+Y41+Y76</f>
        <v>3350534</v>
      </c>
      <c r="Z111" s="129">
        <f t="shared" si="206"/>
        <v>5087543</v>
      </c>
      <c r="AA111" s="129">
        <f t="shared" si="206"/>
        <v>6814190</v>
      </c>
      <c r="AB111" s="129">
        <f t="shared" ref="AB111" si="207">AB6+AB41+AB76</f>
        <v>1681564</v>
      </c>
    </row>
    <row r="112" spans="2:28" ht="13" customHeight="1">
      <c r="B112" s="128" t="s">
        <v>348</v>
      </c>
      <c r="C112" s="128" t="s">
        <v>349</v>
      </c>
      <c r="D112" s="129">
        <f t="shared" ref="D112:S112" si="208">D7+D42+D77</f>
        <v>35078</v>
      </c>
      <c r="E112" s="129">
        <f t="shared" si="208"/>
        <v>87253</v>
      </c>
      <c r="F112" s="129">
        <f t="shared" si="208"/>
        <v>125716</v>
      </c>
      <c r="G112" s="129">
        <f t="shared" si="208"/>
        <v>150915</v>
      </c>
      <c r="H112" s="129">
        <f t="shared" si="208"/>
        <v>33474</v>
      </c>
      <c r="I112" s="129">
        <f t="shared" si="208"/>
        <v>68916</v>
      </c>
      <c r="J112" s="129">
        <f t="shared" si="208"/>
        <v>113080</v>
      </c>
      <c r="K112" s="129">
        <f t="shared" si="208"/>
        <v>153525</v>
      </c>
      <c r="L112" s="129">
        <f t="shared" si="208"/>
        <v>22486</v>
      </c>
      <c r="M112" s="129">
        <f t="shared" si="208"/>
        <v>60790</v>
      </c>
      <c r="N112" s="129">
        <f t="shared" si="208"/>
        <v>115114</v>
      </c>
      <c r="O112" s="129">
        <f t="shared" si="208"/>
        <v>173828</v>
      </c>
      <c r="P112" s="129">
        <f t="shared" si="208"/>
        <v>62130</v>
      </c>
      <c r="Q112" s="129">
        <f t="shared" si="208"/>
        <v>110917</v>
      </c>
      <c r="R112" s="129">
        <f t="shared" si="208"/>
        <v>163361</v>
      </c>
      <c r="S112" s="129">
        <f t="shared" si="208"/>
        <v>199338</v>
      </c>
      <c r="T112" s="129">
        <f t="shared" ref="T112:U112" si="209">T7+T42+T77</f>
        <v>22660</v>
      </c>
      <c r="U112" s="129">
        <f t="shared" si="209"/>
        <v>32645</v>
      </c>
      <c r="V112" s="129">
        <f t="shared" ref="V112:W112" si="210">V7+V42+V77</f>
        <v>60408</v>
      </c>
      <c r="W112" s="129">
        <f t="shared" si="210"/>
        <v>427541</v>
      </c>
      <c r="X112" s="129">
        <f t="shared" ref="X112:Y112" si="211">X7+X42+X77</f>
        <v>148321</v>
      </c>
      <c r="Y112" s="129">
        <f t="shared" si="211"/>
        <v>293892</v>
      </c>
      <c r="Z112" s="129">
        <f t="shared" ref="Z112:AA112" si="212">Z7+Z42+Z77</f>
        <v>444365</v>
      </c>
      <c r="AA112" s="129">
        <f t="shared" si="212"/>
        <v>581779</v>
      </c>
      <c r="AB112" s="129">
        <f t="shared" ref="AB112" si="213">AB7+AB42+AB77</f>
        <v>142142</v>
      </c>
    </row>
    <row r="113" spans="2:28" ht="13" customHeight="1">
      <c r="B113" s="128" t="s">
        <v>350</v>
      </c>
      <c r="C113" s="128" t="s">
        <v>351</v>
      </c>
      <c r="D113" s="129">
        <f t="shared" ref="D113:S113" si="214">D8+D43+D78</f>
        <v>-210323</v>
      </c>
      <c r="E113" s="129">
        <f t="shared" si="214"/>
        <v>-438809</v>
      </c>
      <c r="F113" s="129">
        <f t="shared" si="214"/>
        <v>-652556</v>
      </c>
      <c r="G113" s="129">
        <f t="shared" si="214"/>
        <v>-871848</v>
      </c>
      <c r="H113" s="129">
        <f t="shared" si="214"/>
        <v>-216279</v>
      </c>
      <c r="I113" s="129">
        <f t="shared" si="214"/>
        <v>-433451</v>
      </c>
      <c r="J113" s="129">
        <f t="shared" si="214"/>
        <v>-659779</v>
      </c>
      <c r="K113" s="129">
        <f t="shared" si="214"/>
        <v>-877846</v>
      </c>
      <c r="L113" s="129">
        <f t="shared" si="214"/>
        <v>-183553</v>
      </c>
      <c r="M113" s="129">
        <f t="shared" si="214"/>
        <v>-318893</v>
      </c>
      <c r="N113" s="129">
        <f t="shared" si="214"/>
        <v>-416687</v>
      </c>
      <c r="O113" s="129">
        <f t="shared" si="214"/>
        <v>-484147</v>
      </c>
      <c r="P113" s="129">
        <f t="shared" si="214"/>
        <v>-74488</v>
      </c>
      <c r="Q113" s="129">
        <f t="shared" si="214"/>
        <v>-125748</v>
      </c>
      <c r="R113" s="129">
        <f t="shared" si="214"/>
        <v>-172243</v>
      </c>
      <c r="S113" s="129">
        <f t="shared" si="214"/>
        <v>-238408</v>
      </c>
      <c r="T113" s="129">
        <f t="shared" ref="T113:U113" si="215">T8+T43+T78</f>
        <v>-183412</v>
      </c>
      <c r="U113" s="129">
        <f t="shared" si="215"/>
        <v>-561142</v>
      </c>
      <c r="V113" s="129">
        <f t="shared" ref="V113:W113" si="216">V8+V43+V78</f>
        <v>-1157681</v>
      </c>
      <c r="W113" s="129">
        <f t="shared" si="216"/>
        <v>-1830295</v>
      </c>
      <c r="X113" s="129">
        <f t="shared" ref="X113:Y113" si="217">X8+X43+X78</f>
        <v>-706738</v>
      </c>
      <c r="Y113" s="129">
        <f t="shared" si="217"/>
        <v>-1380485</v>
      </c>
      <c r="Z113" s="129">
        <f t="shared" ref="Z113:AA113" si="218">Z8+Z43+Z78</f>
        <v>-2048730</v>
      </c>
      <c r="AA113" s="129">
        <f t="shared" si="218"/>
        <v>-2623599</v>
      </c>
      <c r="AB113" s="129">
        <f t="shared" ref="AB113" si="219">AB8+AB43+AB78</f>
        <v>-554297</v>
      </c>
    </row>
    <row r="114" spans="2:28" ht="13" customHeight="1">
      <c r="B114" s="126" t="s">
        <v>352</v>
      </c>
      <c r="C114" s="126" t="s">
        <v>353</v>
      </c>
      <c r="D114" s="127">
        <f t="shared" ref="D114:N114" si="220">D115+D116</f>
        <v>0</v>
      </c>
      <c r="E114" s="127">
        <f t="shared" si="220"/>
        <v>0</v>
      </c>
      <c r="F114" s="127">
        <f t="shared" si="220"/>
        <v>0</v>
      </c>
      <c r="G114" s="127">
        <f t="shared" si="220"/>
        <v>0</v>
      </c>
      <c r="H114" s="127">
        <f t="shared" si="220"/>
        <v>0</v>
      </c>
      <c r="I114" s="127">
        <f t="shared" si="220"/>
        <v>0</v>
      </c>
      <c r="J114" s="127">
        <f t="shared" si="220"/>
        <v>0</v>
      </c>
      <c r="K114" s="127">
        <f t="shared" si="220"/>
        <v>0</v>
      </c>
      <c r="L114" s="127">
        <f t="shared" si="220"/>
        <v>0</v>
      </c>
      <c r="M114" s="127">
        <f t="shared" si="220"/>
        <v>0</v>
      </c>
      <c r="N114" s="127">
        <f t="shared" si="220"/>
        <v>0</v>
      </c>
      <c r="O114" s="127">
        <f t="shared" ref="O114:T114" si="221">O115+O116</f>
        <v>0</v>
      </c>
      <c r="P114" s="127">
        <f t="shared" si="221"/>
        <v>0</v>
      </c>
      <c r="Q114" s="127">
        <f t="shared" si="221"/>
        <v>0</v>
      </c>
      <c r="R114" s="127">
        <f t="shared" si="221"/>
        <v>0</v>
      </c>
      <c r="S114" s="127">
        <f t="shared" si="221"/>
        <v>0</v>
      </c>
      <c r="T114" s="127">
        <f t="shared" si="221"/>
        <v>0</v>
      </c>
      <c r="U114" s="127">
        <f t="shared" ref="U114:V114" si="222">U115+U116</f>
        <v>0</v>
      </c>
      <c r="V114" s="127">
        <f t="shared" si="222"/>
        <v>0</v>
      </c>
      <c r="W114" s="127">
        <f t="shared" ref="W114:X114" si="223">W115+W116</f>
        <v>0</v>
      </c>
      <c r="X114" s="127">
        <f t="shared" si="223"/>
        <v>0</v>
      </c>
      <c r="Y114" s="127">
        <f t="shared" ref="Y114:AA114" si="224">Y115+Y116</f>
        <v>0</v>
      </c>
      <c r="Z114" s="127">
        <f t="shared" si="224"/>
        <v>0</v>
      </c>
      <c r="AA114" s="127">
        <f t="shared" si="224"/>
        <v>0</v>
      </c>
      <c r="AB114" s="127">
        <f t="shared" ref="AB114" si="225">AB115+AB116</f>
        <v>0</v>
      </c>
    </row>
    <row r="115" spans="2:28" ht="13" customHeight="1">
      <c r="B115" s="128" t="s">
        <v>354</v>
      </c>
      <c r="C115" s="128" t="s">
        <v>355</v>
      </c>
      <c r="D115" s="129">
        <f t="shared" ref="D115:S115" si="226">D10+D45+D80</f>
        <v>829017</v>
      </c>
      <c r="E115" s="129">
        <f t="shared" si="226"/>
        <v>1684006</v>
      </c>
      <c r="F115" s="129">
        <f t="shared" si="226"/>
        <v>2559447</v>
      </c>
      <c r="G115" s="129">
        <f t="shared" si="226"/>
        <v>2706936</v>
      </c>
      <c r="H115" s="129">
        <f t="shared" si="226"/>
        <v>720828</v>
      </c>
      <c r="I115" s="129">
        <f t="shared" si="226"/>
        <v>1465118</v>
      </c>
      <c r="J115" s="129">
        <f t="shared" si="226"/>
        <v>2226580</v>
      </c>
      <c r="K115" s="129">
        <f t="shared" si="226"/>
        <v>3011710</v>
      </c>
      <c r="L115" s="129">
        <f t="shared" si="226"/>
        <v>736300</v>
      </c>
      <c r="M115" s="129">
        <f t="shared" si="226"/>
        <v>1180373</v>
      </c>
      <c r="N115" s="129">
        <f t="shared" si="226"/>
        <v>1520428</v>
      </c>
      <c r="O115" s="129">
        <f t="shared" si="226"/>
        <v>1833816</v>
      </c>
      <c r="P115" s="129">
        <f t="shared" si="226"/>
        <v>306553</v>
      </c>
      <c r="Q115" s="129">
        <f t="shared" si="226"/>
        <v>483212</v>
      </c>
      <c r="R115" s="129">
        <f t="shared" si="226"/>
        <v>725719</v>
      </c>
      <c r="S115" s="129">
        <f t="shared" si="226"/>
        <v>1197195</v>
      </c>
      <c r="T115" s="129">
        <f t="shared" ref="T115:U115" si="227">T10+T45+T80</f>
        <v>864448</v>
      </c>
      <c r="U115" s="129">
        <f t="shared" si="227"/>
        <v>2365311</v>
      </c>
      <c r="V115" s="129">
        <f t="shared" ref="V115:W115" si="228">V10+V45+V80</f>
        <v>4373755</v>
      </c>
      <c r="W115" s="129">
        <f t="shared" si="228"/>
        <v>6515018</v>
      </c>
      <c r="X115" s="129">
        <f t="shared" ref="X115:Y115" si="229">X10+X45+X80</f>
        <v>1848733</v>
      </c>
      <c r="Y115" s="129">
        <f t="shared" si="229"/>
        <v>3769443</v>
      </c>
      <c r="Z115" s="129">
        <f t="shared" ref="Z115:AA115" si="230">Z10+Z45+Z80</f>
        <v>5726633</v>
      </c>
      <c r="AA115" s="129">
        <f t="shared" si="230"/>
        <v>7581816</v>
      </c>
      <c r="AB115" s="129">
        <f t="shared" ref="AB115" si="231">AB10+AB45+AB80</f>
        <v>1846572</v>
      </c>
    </row>
    <row r="116" spans="2:28" ht="13" customHeight="1">
      <c r="B116" s="128" t="s">
        <v>356</v>
      </c>
      <c r="C116" s="128" t="s">
        <v>357</v>
      </c>
      <c r="D116" s="129">
        <f t="shared" ref="D116:S116" si="232">D11+D46+D81</f>
        <v>-829017</v>
      </c>
      <c r="E116" s="129">
        <f t="shared" si="232"/>
        <v>-1684006</v>
      </c>
      <c r="F116" s="129">
        <f t="shared" si="232"/>
        <v>-2559447</v>
      </c>
      <c r="G116" s="129">
        <f t="shared" si="232"/>
        <v>-2706936</v>
      </c>
      <c r="H116" s="129">
        <f t="shared" si="232"/>
        <v>-720828</v>
      </c>
      <c r="I116" s="129">
        <f t="shared" si="232"/>
        <v>-1465118</v>
      </c>
      <c r="J116" s="129">
        <f t="shared" si="232"/>
        <v>-2226580</v>
      </c>
      <c r="K116" s="129">
        <f t="shared" si="232"/>
        <v>-3011710</v>
      </c>
      <c r="L116" s="129">
        <f t="shared" si="232"/>
        <v>-736300</v>
      </c>
      <c r="M116" s="129">
        <f t="shared" si="232"/>
        <v>-1180373</v>
      </c>
      <c r="N116" s="129">
        <f t="shared" si="232"/>
        <v>-1520428</v>
      </c>
      <c r="O116" s="129">
        <f t="shared" si="232"/>
        <v>-1833816</v>
      </c>
      <c r="P116" s="129">
        <f t="shared" si="232"/>
        <v>-306553</v>
      </c>
      <c r="Q116" s="129">
        <f t="shared" si="232"/>
        <v>-483212</v>
      </c>
      <c r="R116" s="129">
        <f t="shared" si="232"/>
        <v>-725719</v>
      </c>
      <c r="S116" s="129">
        <f t="shared" si="232"/>
        <v>-1197195</v>
      </c>
      <c r="T116" s="129">
        <f t="shared" ref="T116:U116" si="233">T11+T46+T81</f>
        <v>-864448</v>
      </c>
      <c r="U116" s="129">
        <f t="shared" si="233"/>
        <v>-2365311</v>
      </c>
      <c r="V116" s="129">
        <f t="shared" ref="V116:W116" si="234">V11+V46+V81</f>
        <v>-4373755</v>
      </c>
      <c r="W116" s="129">
        <f t="shared" si="234"/>
        <v>-6515018</v>
      </c>
      <c r="X116" s="129">
        <f t="shared" ref="X116:Y116" si="235">X11+X46+X81</f>
        <v>-1848733</v>
      </c>
      <c r="Y116" s="129">
        <f t="shared" si="235"/>
        <v>-3769443</v>
      </c>
      <c r="Z116" s="129">
        <f t="shared" ref="Z116:AA116" si="236">Z11+Z46+Z81</f>
        <v>-5726633</v>
      </c>
      <c r="AA116" s="129">
        <f t="shared" si="236"/>
        <v>-7581816</v>
      </c>
      <c r="AB116" s="129">
        <f t="shared" ref="AB116" si="237">AB11+AB46+AB81</f>
        <v>-1846572</v>
      </c>
    </row>
    <row r="117" spans="2:28" ht="13" customHeight="1">
      <c r="B117" s="126" t="s">
        <v>198</v>
      </c>
      <c r="C117" s="126" t="s">
        <v>1</v>
      </c>
      <c r="D117" s="127">
        <f t="shared" ref="D117:N117" si="238">D110+D114</f>
        <v>737652</v>
      </c>
      <c r="E117" s="127">
        <f t="shared" si="238"/>
        <v>1500940</v>
      </c>
      <c r="F117" s="127">
        <f t="shared" si="238"/>
        <v>2283636</v>
      </c>
      <c r="G117" s="127">
        <f t="shared" si="238"/>
        <v>3084524</v>
      </c>
      <c r="H117" s="127">
        <f t="shared" si="238"/>
        <v>803807</v>
      </c>
      <c r="I117" s="127">
        <f t="shared" si="238"/>
        <v>1633661</v>
      </c>
      <c r="J117" s="127">
        <f t="shared" si="238"/>
        <v>2436672</v>
      </c>
      <c r="K117" s="127">
        <f t="shared" si="238"/>
        <v>3184344</v>
      </c>
      <c r="L117" s="127">
        <f t="shared" si="238"/>
        <v>776884</v>
      </c>
      <c r="M117" s="127">
        <f t="shared" si="238"/>
        <v>1498865</v>
      </c>
      <c r="N117" s="127">
        <f t="shared" si="238"/>
        <v>2181980</v>
      </c>
      <c r="O117" s="127">
        <f t="shared" ref="O117:T117" si="239">O110+O114</f>
        <v>2848726</v>
      </c>
      <c r="P117" s="127">
        <f t="shared" si="239"/>
        <v>670178</v>
      </c>
      <c r="Q117" s="127">
        <f t="shared" si="239"/>
        <v>1336837</v>
      </c>
      <c r="R117" s="127">
        <f t="shared" si="239"/>
        <v>2040357</v>
      </c>
      <c r="S117" s="127">
        <f t="shared" si="239"/>
        <v>2798234</v>
      </c>
      <c r="T117" s="127">
        <f t="shared" si="239"/>
        <v>862351</v>
      </c>
      <c r="U117" s="127">
        <f t="shared" ref="U117:V117" si="240">U110+U114</f>
        <v>1834112</v>
      </c>
      <c r="V117" s="127">
        <f t="shared" si="240"/>
        <v>2420787</v>
      </c>
      <c r="W117" s="127">
        <f t="shared" ref="W117:X117" si="241">W110+W114</f>
        <v>3559871</v>
      </c>
      <c r="X117" s="127">
        <f t="shared" si="241"/>
        <v>1103062</v>
      </c>
      <c r="Y117" s="127">
        <f t="shared" ref="Y117:AA117" si="242">Y110+Y114</f>
        <v>2263941</v>
      </c>
      <c r="Z117" s="127">
        <f t="shared" si="242"/>
        <v>3483178</v>
      </c>
      <c r="AA117" s="127">
        <f t="shared" si="242"/>
        <v>4772370</v>
      </c>
      <c r="AB117" s="127">
        <f t="shared" ref="AB117" si="243">AB110+AB114</f>
        <v>1269409</v>
      </c>
    </row>
    <row r="118" spans="2:28" ht="13" customHeight="1">
      <c r="B118" s="128" t="s">
        <v>199</v>
      </c>
      <c r="C118" s="128" t="s">
        <v>358</v>
      </c>
      <c r="D118" s="129">
        <f t="shared" ref="D118:S118" si="244">D13+D48+D83</f>
        <v>264369</v>
      </c>
      <c r="E118" s="129">
        <f t="shared" si="244"/>
        <v>529392</v>
      </c>
      <c r="F118" s="129">
        <f t="shared" si="244"/>
        <v>812859</v>
      </c>
      <c r="G118" s="129">
        <f t="shared" si="244"/>
        <v>1099468</v>
      </c>
      <c r="H118" s="129">
        <f t="shared" si="244"/>
        <v>266948</v>
      </c>
      <c r="I118" s="129">
        <f t="shared" si="244"/>
        <v>549422</v>
      </c>
      <c r="J118" s="129">
        <f t="shared" si="244"/>
        <v>851631</v>
      </c>
      <c r="K118" s="129">
        <f t="shared" si="244"/>
        <v>1157052</v>
      </c>
      <c r="L118" s="129">
        <f t="shared" si="244"/>
        <v>269347</v>
      </c>
      <c r="M118" s="129">
        <f t="shared" si="244"/>
        <v>563597</v>
      </c>
      <c r="N118" s="129">
        <f t="shared" si="244"/>
        <v>893025</v>
      </c>
      <c r="O118" s="129">
        <f t="shared" si="244"/>
        <v>1215749</v>
      </c>
      <c r="P118" s="129">
        <f t="shared" si="244"/>
        <v>316398</v>
      </c>
      <c r="Q118" s="129">
        <f t="shared" si="244"/>
        <v>661598</v>
      </c>
      <c r="R118" s="129">
        <f t="shared" si="244"/>
        <v>1041963</v>
      </c>
      <c r="S118" s="129">
        <f t="shared" si="244"/>
        <v>1441513.98863</v>
      </c>
      <c r="T118" s="129">
        <f t="shared" ref="T118:U118" si="245">T13+T48+T83</f>
        <v>371419</v>
      </c>
      <c r="U118" s="129">
        <f t="shared" si="245"/>
        <v>803835</v>
      </c>
      <c r="V118" s="129">
        <f t="shared" ref="V118:W118" si="246">V13+V48+V83</f>
        <v>1234434</v>
      </c>
      <c r="W118" s="129">
        <f t="shared" si="246"/>
        <v>1636555</v>
      </c>
      <c r="X118" s="129">
        <f t="shared" ref="X118:Y118" si="247">X13+X48+X83</f>
        <v>420359</v>
      </c>
      <c r="Y118" s="129">
        <f t="shared" si="247"/>
        <v>887019</v>
      </c>
      <c r="Z118" s="129">
        <f t="shared" ref="Z118:AA118" si="248">Z13+Z48+Z83</f>
        <v>1325025</v>
      </c>
      <c r="AA118" s="129">
        <f t="shared" si="248"/>
        <v>1802068</v>
      </c>
      <c r="AB118" s="129">
        <f t="shared" ref="AB118" si="249">AB13+AB48+AB83</f>
        <v>450692</v>
      </c>
    </row>
    <row r="119" spans="2:28" ht="13" customHeight="1">
      <c r="B119" s="128" t="s">
        <v>200</v>
      </c>
      <c r="C119" s="128" t="s">
        <v>359</v>
      </c>
      <c r="D119" s="129">
        <f t="shared" ref="D119:S119" si="250">D14+D49+D84</f>
        <v>-87495</v>
      </c>
      <c r="E119" s="129">
        <f t="shared" si="250"/>
        <v>-181923</v>
      </c>
      <c r="F119" s="129">
        <f t="shared" si="250"/>
        <v>-286828</v>
      </c>
      <c r="G119" s="129">
        <f t="shared" si="250"/>
        <v>-389469</v>
      </c>
      <c r="H119" s="129">
        <f t="shared" si="250"/>
        <v>-97084</v>
      </c>
      <c r="I119" s="129">
        <f t="shared" si="250"/>
        <v>-224535</v>
      </c>
      <c r="J119" s="129">
        <f t="shared" si="250"/>
        <v>-356500</v>
      </c>
      <c r="K119" s="129">
        <f t="shared" si="250"/>
        <v>-498994</v>
      </c>
      <c r="L119" s="129">
        <f t="shared" si="250"/>
        <v>-134176</v>
      </c>
      <c r="M119" s="129">
        <f t="shared" si="250"/>
        <v>-273842</v>
      </c>
      <c r="N119" s="129">
        <f t="shared" si="250"/>
        <v>-434168</v>
      </c>
      <c r="O119" s="129">
        <f t="shared" si="250"/>
        <v>-579903</v>
      </c>
      <c r="P119" s="129">
        <f t="shared" si="250"/>
        <v>-138688</v>
      </c>
      <c r="Q119" s="129">
        <f t="shared" si="250"/>
        <v>-300510</v>
      </c>
      <c r="R119" s="129">
        <f t="shared" si="250"/>
        <v>-491287</v>
      </c>
      <c r="S119" s="129">
        <f t="shared" si="250"/>
        <v>-674766</v>
      </c>
      <c r="T119" s="129">
        <f t="shared" ref="T119:U119" si="251">T14+T49+T84</f>
        <v>-180742</v>
      </c>
      <c r="U119" s="129">
        <f t="shared" si="251"/>
        <v>-392558</v>
      </c>
      <c r="V119" s="129">
        <f t="shared" ref="V119:W119" si="252">V14+V49+V84</f>
        <v>-621571</v>
      </c>
      <c r="W119" s="129">
        <f t="shared" si="252"/>
        <v>-840486</v>
      </c>
      <c r="X119" s="129">
        <f t="shared" ref="X119:Y119" si="253">X14+X49+X84</f>
        <v>-211808</v>
      </c>
      <c r="Y119" s="129">
        <f t="shared" si="253"/>
        <v>-462307</v>
      </c>
      <c r="Z119" s="129">
        <f t="shared" ref="Z119:AA119" si="254">Z14+Z49+Z84</f>
        <v>-728040</v>
      </c>
      <c r="AA119" s="129">
        <f t="shared" si="254"/>
        <v>-964565</v>
      </c>
      <c r="AB119" s="129">
        <f t="shared" ref="AB119" si="255">AB14+AB49+AB84</f>
        <v>-239353</v>
      </c>
    </row>
    <row r="120" spans="2:28" ht="13" customHeight="1">
      <c r="B120" s="126" t="s">
        <v>201</v>
      </c>
      <c r="C120" s="126" t="s">
        <v>12</v>
      </c>
      <c r="D120" s="127">
        <f t="shared" ref="D120:N120" si="256">D118+D119</f>
        <v>176874</v>
      </c>
      <c r="E120" s="127">
        <f t="shared" si="256"/>
        <v>347469</v>
      </c>
      <c r="F120" s="127">
        <f t="shared" si="256"/>
        <v>526031</v>
      </c>
      <c r="G120" s="127">
        <f t="shared" si="256"/>
        <v>709999</v>
      </c>
      <c r="H120" s="127">
        <f t="shared" si="256"/>
        <v>169864</v>
      </c>
      <c r="I120" s="127">
        <f t="shared" si="256"/>
        <v>324887</v>
      </c>
      <c r="J120" s="127">
        <f t="shared" si="256"/>
        <v>495131</v>
      </c>
      <c r="K120" s="127">
        <f t="shared" si="256"/>
        <v>658058</v>
      </c>
      <c r="L120" s="127">
        <f t="shared" si="256"/>
        <v>135171</v>
      </c>
      <c r="M120" s="127">
        <f t="shared" si="256"/>
        <v>289755</v>
      </c>
      <c r="N120" s="127">
        <f t="shared" si="256"/>
        <v>458857</v>
      </c>
      <c r="O120" s="127">
        <f t="shared" ref="O120:T120" si="257">O118+O119</f>
        <v>635846</v>
      </c>
      <c r="P120" s="127">
        <f t="shared" si="257"/>
        <v>177710</v>
      </c>
      <c r="Q120" s="127">
        <f t="shared" si="257"/>
        <v>361088</v>
      </c>
      <c r="R120" s="127">
        <f t="shared" si="257"/>
        <v>550676</v>
      </c>
      <c r="S120" s="127">
        <f t="shared" si="257"/>
        <v>766747.98863000004</v>
      </c>
      <c r="T120" s="127">
        <f t="shared" si="257"/>
        <v>190677</v>
      </c>
      <c r="U120" s="127">
        <f t="shared" ref="U120:V120" si="258">U118+U119</f>
        <v>411277</v>
      </c>
      <c r="V120" s="127">
        <f t="shared" si="258"/>
        <v>612863</v>
      </c>
      <c r="W120" s="127">
        <f t="shared" ref="W120:X120" si="259">W118+W119</f>
        <v>796069</v>
      </c>
      <c r="X120" s="127">
        <f t="shared" si="259"/>
        <v>208551</v>
      </c>
      <c r="Y120" s="127">
        <f t="shared" ref="Y120:AA120" si="260">Y118+Y119</f>
        <v>424712</v>
      </c>
      <c r="Z120" s="127">
        <f t="shared" si="260"/>
        <v>596985</v>
      </c>
      <c r="AA120" s="127">
        <f t="shared" si="260"/>
        <v>837503</v>
      </c>
      <c r="AB120" s="127">
        <f t="shared" ref="AB120" si="261">AB118+AB119</f>
        <v>211339</v>
      </c>
    </row>
    <row r="121" spans="2:28" ht="13" customHeight="1">
      <c r="B121" s="128" t="s">
        <v>202</v>
      </c>
      <c r="C121" s="128" t="s">
        <v>2</v>
      </c>
      <c r="D121" s="129">
        <f t="shared" ref="D121:S121" si="262">D16+D51+D86</f>
        <v>0</v>
      </c>
      <c r="E121" s="129">
        <f t="shared" si="262"/>
        <v>94</v>
      </c>
      <c r="F121" s="129">
        <f t="shared" si="262"/>
        <v>143</v>
      </c>
      <c r="G121" s="129">
        <f t="shared" si="262"/>
        <v>275</v>
      </c>
      <c r="H121" s="129">
        <f t="shared" si="262"/>
        <v>0</v>
      </c>
      <c r="I121" s="129">
        <f t="shared" si="262"/>
        <v>173</v>
      </c>
      <c r="J121" s="129">
        <f t="shared" si="262"/>
        <v>257</v>
      </c>
      <c r="K121" s="129">
        <f t="shared" si="262"/>
        <v>344</v>
      </c>
      <c r="L121" s="129">
        <f t="shared" si="262"/>
        <v>114</v>
      </c>
      <c r="M121" s="129">
        <f t="shared" si="262"/>
        <v>221</v>
      </c>
      <c r="N121" s="129">
        <f t="shared" si="262"/>
        <v>594</v>
      </c>
      <c r="O121" s="129">
        <f t="shared" si="262"/>
        <v>700</v>
      </c>
      <c r="P121" s="129">
        <f t="shared" si="262"/>
        <v>106</v>
      </c>
      <c r="Q121" s="129">
        <f t="shared" si="262"/>
        <v>277</v>
      </c>
      <c r="R121" s="129">
        <f t="shared" si="262"/>
        <v>397</v>
      </c>
      <c r="S121" s="129">
        <f t="shared" si="262"/>
        <v>532</v>
      </c>
      <c r="T121" s="129">
        <f t="shared" ref="T121:U121" si="263">T16+T51+T86</f>
        <v>139</v>
      </c>
      <c r="U121" s="129">
        <f t="shared" si="263"/>
        <v>291</v>
      </c>
      <c r="V121" s="129">
        <f t="shared" ref="V121:W121" si="264">V16+V51+V86</f>
        <v>448</v>
      </c>
      <c r="W121" s="129">
        <f t="shared" si="264"/>
        <v>627</v>
      </c>
      <c r="X121" s="129">
        <f t="shared" ref="X121:Y121" si="265">X16+X51+X86</f>
        <v>47</v>
      </c>
      <c r="Y121" s="129">
        <f t="shared" si="265"/>
        <v>93</v>
      </c>
      <c r="Z121" s="129">
        <f t="shared" ref="Z121:AA121" si="266">Z16+Z51+Z86</f>
        <v>136</v>
      </c>
      <c r="AA121" s="129">
        <f t="shared" si="266"/>
        <v>185</v>
      </c>
      <c r="AB121" s="129">
        <f t="shared" ref="AB121" si="267">AB16+AB51+AB86</f>
        <v>48</v>
      </c>
    </row>
    <row r="122" spans="2:28" ht="13" customHeight="1">
      <c r="B122" s="128" t="s">
        <v>203</v>
      </c>
      <c r="C122" s="128" t="s">
        <v>16</v>
      </c>
      <c r="D122" s="129">
        <f t="shared" ref="D122:S122" si="268">D17+D52+D87</f>
        <v>9990</v>
      </c>
      <c r="E122" s="129">
        <f t="shared" si="268"/>
        <v>53018</v>
      </c>
      <c r="F122" s="129">
        <f t="shared" si="268"/>
        <v>81730</v>
      </c>
      <c r="G122" s="129">
        <f t="shared" si="268"/>
        <v>97684</v>
      </c>
      <c r="H122" s="129">
        <f t="shared" si="268"/>
        <v>22686</v>
      </c>
      <c r="I122" s="129">
        <f t="shared" si="268"/>
        <v>33266</v>
      </c>
      <c r="J122" s="129">
        <f t="shared" si="268"/>
        <v>48129</v>
      </c>
      <c r="K122" s="129">
        <f t="shared" si="268"/>
        <v>102010</v>
      </c>
      <c r="L122" s="129">
        <f t="shared" si="268"/>
        <v>1339</v>
      </c>
      <c r="M122" s="129">
        <f t="shared" si="268"/>
        <v>16343</v>
      </c>
      <c r="N122" s="129">
        <f t="shared" si="268"/>
        <v>36086</v>
      </c>
      <c r="O122" s="129">
        <f t="shared" si="268"/>
        <v>79070</v>
      </c>
      <c r="P122" s="129">
        <f t="shared" si="268"/>
        <v>18731</v>
      </c>
      <c r="Q122" s="129">
        <f t="shared" si="268"/>
        <v>53169</v>
      </c>
      <c r="R122" s="129">
        <f t="shared" si="268"/>
        <v>81230</v>
      </c>
      <c r="S122" s="129">
        <f t="shared" si="268"/>
        <v>87149</v>
      </c>
      <c r="T122" s="129">
        <f t="shared" ref="T122:U122" si="269">T17+T52+T87</f>
        <v>37795</v>
      </c>
      <c r="U122" s="129">
        <f t="shared" si="269"/>
        <v>33894</v>
      </c>
      <c r="V122" s="129">
        <f t="shared" ref="V122:W122" si="270">V17+V52+V87</f>
        <v>14647</v>
      </c>
      <c r="W122" s="129">
        <f t="shared" si="270"/>
        <v>32521</v>
      </c>
      <c r="X122" s="129">
        <f t="shared" ref="X122:Y122" si="271">X17+X52+X87</f>
        <v>13324</v>
      </c>
      <c r="Y122" s="129">
        <f t="shared" si="271"/>
        <v>19577</v>
      </c>
      <c r="Z122" s="129">
        <f t="shared" ref="Z122:AA122" si="272">Z17+Z52+Z87</f>
        <v>70704</v>
      </c>
      <c r="AA122" s="129">
        <f t="shared" si="272"/>
        <v>63776</v>
      </c>
      <c r="AB122" s="129">
        <f t="shared" ref="AB122" si="273">AB17+AB52+AB87</f>
        <v>10976</v>
      </c>
    </row>
    <row r="123" spans="2:28" ht="13" customHeight="1">
      <c r="B123" s="126" t="s">
        <v>204</v>
      </c>
      <c r="C123" s="126" t="s">
        <v>360</v>
      </c>
      <c r="D123" s="127">
        <f t="shared" ref="D123:N123" si="274">D124+D125</f>
        <v>11545</v>
      </c>
      <c r="E123" s="127">
        <f t="shared" si="274"/>
        <v>32794</v>
      </c>
      <c r="F123" s="127">
        <f t="shared" si="274"/>
        <v>40452</v>
      </c>
      <c r="G123" s="127">
        <f t="shared" si="274"/>
        <v>77829</v>
      </c>
      <c r="H123" s="127">
        <f t="shared" si="274"/>
        <v>17295</v>
      </c>
      <c r="I123" s="127">
        <f t="shared" si="274"/>
        <v>21758</v>
      </c>
      <c r="J123" s="127">
        <f t="shared" si="274"/>
        <v>29131</v>
      </c>
      <c r="K123" s="127">
        <f t="shared" si="274"/>
        <v>46236</v>
      </c>
      <c r="L123" s="127">
        <f t="shared" si="274"/>
        <v>29261</v>
      </c>
      <c r="M123" s="127">
        <f t="shared" si="274"/>
        <v>26618</v>
      </c>
      <c r="N123" s="127">
        <f t="shared" si="274"/>
        <v>36090</v>
      </c>
      <c r="O123" s="127">
        <f t="shared" ref="O123:T123" si="275">O124+O125</f>
        <v>84553</v>
      </c>
      <c r="P123" s="127">
        <f t="shared" si="275"/>
        <v>174</v>
      </c>
      <c r="Q123" s="127">
        <f t="shared" si="275"/>
        <v>2294</v>
      </c>
      <c r="R123" s="127">
        <f t="shared" si="275"/>
        <v>5793</v>
      </c>
      <c r="S123" s="127">
        <f t="shared" si="275"/>
        <v>5293</v>
      </c>
      <c r="T123" s="127">
        <f t="shared" si="275"/>
        <v>290</v>
      </c>
      <c r="U123" s="127">
        <f t="shared" ref="U123:V123" si="276">U124+U125</f>
        <v>1484</v>
      </c>
      <c r="V123" s="127">
        <f t="shared" si="276"/>
        <v>1655</v>
      </c>
      <c r="W123" s="127">
        <f t="shared" ref="W123:X123" si="277">W124+W125</f>
        <v>1989</v>
      </c>
      <c r="X123" s="127">
        <f t="shared" si="277"/>
        <v>2221</v>
      </c>
      <c r="Y123" s="127">
        <f t="shared" ref="Y123:AA123" si="278">Y124+Y125</f>
        <v>3765</v>
      </c>
      <c r="Z123" s="127">
        <f t="shared" si="278"/>
        <v>6690</v>
      </c>
      <c r="AA123" s="127">
        <f t="shared" si="278"/>
        <v>12251</v>
      </c>
      <c r="AB123" s="127">
        <f t="shared" ref="AB123" si="279">AB124+AB125</f>
        <v>897</v>
      </c>
    </row>
    <row r="124" spans="2:28" ht="13" customHeight="1">
      <c r="B124" s="128" t="s">
        <v>205</v>
      </c>
      <c r="C124" s="128" t="s">
        <v>361</v>
      </c>
      <c r="D124" s="129">
        <f t="shared" ref="D124:S124" si="280">D19+D54+D89</f>
        <v>11185</v>
      </c>
      <c r="E124" s="129">
        <f t="shared" si="280"/>
        <v>32112</v>
      </c>
      <c r="F124" s="129">
        <f t="shared" si="280"/>
        <v>39432</v>
      </c>
      <c r="G124" s="129">
        <f t="shared" si="280"/>
        <v>76473</v>
      </c>
      <c r="H124" s="129">
        <f t="shared" si="280"/>
        <v>10423</v>
      </c>
      <c r="I124" s="129">
        <f t="shared" si="280"/>
        <v>14700</v>
      </c>
      <c r="J124" s="129">
        <f t="shared" si="280"/>
        <v>21700</v>
      </c>
      <c r="K124" s="129">
        <f t="shared" si="280"/>
        <v>38807</v>
      </c>
      <c r="L124" s="129">
        <f t="shared" si="280"/>
        <v>5547</v>
      </c>
      <c r="M124" s="129">
        <f t="shared" si="280"/>
        <v>2807</v>
      </c>
      <c r="N124" s="129">
        <f t="shared" si="280"/>
        <v>12216</v>
      </c>
      <c r="O124" s="129">
        <f t="shared" si="280"/>
        <v>60607</v>
      </c>
      <c r="P124" s="129">
        <f t="shared" si="280"/>
        <v>61</v>
      </c>
      <c r="Q124" s="129">
        <f t="shared" si="280"/>
        <v>318</v>
      </c>
      <c r="R124" s="129">
        <f t="shared" si="280"/>
        <v>3789</v>
      </c>
      <c r="S124" s="129">
        <f t="shared" si="280"/>
        <v>3246</v>
      </c>
      <c r="T124" s="129">
        <f t="shared" ref="T124:U124" si="281">T19+T54+T89</f>
        <v>218</v>
      </c>
      <c r="U124" s="129">
        <f t="shared" si="281"/>
        <v>1212</v>
      </c>
      <c r="V124" s="129">
        <f t="shared" ref="V124:W124" si="282">V19+V54+V89</f>
        <v>1218</v>
      </c>
      <c r="W124" s="129">
        <f t="shared" si="282"/>
        <v>1218</v>
      </c>
      <c r="X124" s="129">
        <f t="shared" ref="X124:Y124" si="283">X19+X54+X89</f>
        <v>2068</v>
      </c>
      <c r="Y124" s="129">
        <f t="shared" si="283"/>
        <v>3507</v>
      </c>
      <c r="Z124" s="129">
        <f t="shared" ref="Z124:AA124" si="284">Z19+Z54+Z89</f>
        <v>6181</v>
      </c>
      <c r="AA124" s="129">
        <f t="shared" si="284"/>
        <v>10346</v>
      </c>
      <c r="AB124" s="129">
        <f t="shared" ref="AB124" si="285">AB19+AB54+AB89</f>
        <v>712</v>
      </c>
    </row>
    <row r="125" spans="2:28" ht="13" customHeight="1">
      <c r="B125" s="128" t="s">
        <v>206</v>
      </c>
      <c r="C125" s="128" t="s">
        <v>14</v>
      </c>
      <c r="D125" s="129">
        <f t="shared" ref="D125:S125" si="286">D20+D55+D90</f>
        <v>360</v>
      </c>
      <c r="E125" s="129">
        <f t="shared" si="286"/>
        <v>682</v>
      </c>
      <c r="F125" s="129">
        <f t="shared" si="286"/>
        <v>1020</v>
      </c>
      <c r="G125" s="129">
        <f t="shared" si="286"/>
        <v>1356</v>
      </c>
      <c r="H125" s="129">
        <f t="shared" si="286"/>
        <v>6872</v>
      </c>
      <c r="I125" s="129">
        <f t="shared" si="286"/>
        <v>7058</v>
      </c>
      <c r="J125" s="129">
        <f t="shared" si="286"/>
        <v>7431</v>
      </c>
      <c r="K125" s="129">
        <f t="shared" si="286"/>
        <v>7429</v>
      </c>
      <c r="L125" s="129">
        <f t="shared" si="286"/>
        <v>23714</v>
      </c>
      <c r="M125" s="129">
        <f t="shared" si="286"/>
        <v>23811</v>
      </c>
      <c r="N125" s="129">
        <f t="shared" si="286"/>
        <v>23874</v>
      </c>
      <c r="O125" s="129">
        <f t="shared" si="286"/>
        <v>23946</v>
      </c>
      <c r="P125" s="129">
        <f t="shared" si="286"/>
        <v>113</v>
      </c>
      <c r="Q125" s="129">
        <f t="shared" si="286"/>
        <v>1976</v>
      </c>
      <c r="R125" s="129">
        <f t="shared" si="286"/>
        <v>2004</v>
      </c>
      <c r="S125" s="129">
        <f t="shared" si="286"/>
        <v>2047</v>
      </c>
      <c r="T125" s="129">
        <f t="shared" ref="T125:U125" si="287">T20+T55+T90</f>
        <v>72</v>
      </c>
      <c r="U125" s="129">
        <f t="shared" si="287"/>
        <v>272</v>
      </c>
      <c r="V125" s="129">
        <f t="shared" ref="V125:W125" si="288">V20+V55+V90</f>
        <v>437</v>
      </c>
      <c r="W125" s="129">
        <f t="shared" si="288"/>
        <v>771</v>
      </c>
      <c r="X125" s="129">
        <f t="shared" ref="X125:Y125" si="289">X20+X55+X90</f>
        <v>153</v>
      </c>
      <c r="Y125" s="129">
        <f t="shared" si="289"/>
        <v>258</v>
      </c>
      <c r="Z125" s="129">
        <f t="shared" ref="Z125:AA125" si="290">Z20+Z55+Z90</f>
        <v>509</v>
      </c>
      <c r="AA125" s="129">
        <f t="shared" si="290"/>
        <v>1905</v>
      </c>
      <c r="AB125" s="129">
        <f t="shared" ref="AB125" si="291">AB20+AB55+AB90</f>
        <v>185</v>
      </c>
    </row>
    <row r="126" spans="2:28" ht="13" customHeight="1">
      <c r="B126" s="128" t="s">
        <v>207</v>
      </c>
      <c r="C126" s="128" t="s">
        <v>6</v>
      </c>
      <c r="D126" s="129">
        <f t="shared" ref="D126:S126" si="292">D21+D56+D91</f>
        <v>48955</v>
      </c>
      <c r="E126" s="129">
        <f t="shared" si="292"/>
        <v>74673</v>
      </c>
      <c r="F126" s="129">
        <f t="shared" si="292"/>
        <v>94560</v>
      </c>
      <c r="G126" s="129">
        <f t="shared" si="292"/>
        <v>127045</v>
      </c>
      <c r="H126" s="129">
        <f t="shared" si="292"/>
        <v>33437</v>
      </c>
      <c r="I126" s="129">
        <f t="shared" si="292"/>
        <v>64220</v>
      </c>
      <c r="J126" s="129">
        <f t="shared" si="292"/>
        <v>100627</v>
      </c>
      <c r="K126" s="129">
        <f t="shared" si="292"/>
        <v>143466</v>
      </c>
      <c r="L126" s="129">
        <f t="shared" si="292"/>
        <v>41615</v>
      </c>
      <c r="M126" s="129">
        <f t="shared" si="292"/>
        <v>68216</v>
      </c>
      <c r="N126" s="129">
        <f t="shared" si="292"/>
        <v>99654</v>
      </c>
      <c r="O126" s="129">
        <f t="shared" si="292"/>
        <v>137039</v>
      </c>
      <c r="P126" s="129">
        <f t="shared" si="292"/>
        <v>47087</v>
      </c>
      <c r="Q126" s="129">
        <f t="shared" si="292"/>
        <v>77253</v>
      </c>
      <c r="R126" s="129">
        <f t="shared" si="292"/>
        <v>112145</v>
      </c>
      <c r="S126" s="129">
        <f t="shared" si="292"/>
        <v>147487</v>
      </c>
      <c r="T126" s="129">
        <f t="shared" ref="T126:U126" si="293">T21+T56+T91</f>
        <v>31536</v>
      </c>
      <c r="U126" s="129">
        <f t="shared" si="293"/>
        <v>61992</v>
      </c>
      <c r="V126" s="129">
        <f t="shared" ref="V126:W126" si="294">V21+V56+V91</f>
        <v>86655</v>
      </c>
      <c r="W126" s="129">
        <f t="shared" si="294"/>
        <v>119712</v>
      </c>
      <c r="X126" s="129">
        <f t="shared" ref="X126:Y126" si="295">X21+X56+X91</f>
        <v>28703</v>
      </c>
      <c r="Y126" s="129">
        <f t="shared" si="295"/>
        <v>60259</v>
      </c>
      <c r="Z126" s="129">
        <f t="shared" ref="Z126:AA126" si="296">Z21+Z56+Z91</f>
        <v>91902</v>
      </c>
      <c r="AA126" s="129">
        <f t="shared" si="296"/>
        <v>148828</v>
      </c>
      <c r="AB126" s="129">
        <f t="shared" ref="AB126" si="297">AB21+AB56+AB91</f>
        <v>34629</v>
      </c>
    </row>
    <row r="127" spans="2:28" ht="13" customHeight="1">
      <c r="B127" s="128" t="s">
        <v>362</v>
      </c>
      <c r="C127" s="128" t="s">
        <v>7</v>
      </c>
      <c r="D127" s="129">
        <f t="shared" ref="D127:S127" si="298">D22+D57+D92</f>
        <v>-20297</v>
      </c>
      <c r="E127" s="129">
        <f t="shared" si="298"/>
        <v>-46181</v>
      </c>
      <c r="F127" s="129">
        <f t="shared" si="298"/>
        <v>-82018</v>
      </c>
      <c r="G127" s="129">
        <f t="shared" si="298"/>
        <v>-141807</v>
      </c>
      <c r="H127" s="129">
        <f t="shared" si="298"/>
        <v>-20944</v>
      </c>
      <c r="I127" s="129">
        <f t="shared" si="298"/>
        <v>-48001</v>
      </c>
      <c r="J127" s="129">
        <f t="shared" si="298"/>
        <v>-124932</v>
      </c>
      <c r="K127" s="129">
        <f t="shared" si="298"/>
        <v>-345605</v>
      </c>
      <c r="L127" s="129">
        <f t="shared" si="298"/>
        <v>-34194</v>
      </c>
      <c r="M127" s="129">
        <f t="shared" si="298"/>
        <v>-158648</v>
      </c>
      <c r="N127" s="129">
        <f t="shared" si="298"/>
        <v>-179221</v>
      </c>
      <c r="O127" s="129">
        <f t="shared" si="298"/>
        <v>-240446</v>
      </c>
      <c r="P127" s="129">
        <f t="shared" si="298"/>
        <v>-22624</v>
      </c>
      <c r="Q127" s="129">
        <f t="shared" si="298"/>
        <v>-46867</v>
      </c>
      <c r="R127" s="129">
        <f t="shared" si="298"/>
        <v>-88290</v>
      </c>
      <c r="S127" s="129">
        <f t="shared" si="298"/>
        <v>-168322</v>
      </c>
      <c r="T127" s="129">
        <f t="shared" ref="T127:U127" si="299">T22+T57+T92</f>
        <v>-29621</v>
      </c>
      <c r="U127" s="129">
        <f t="shared" si="299"/>
        <v>-50091</v>
      </c>
      <c r="V127" s="129">
        <f t="shared" ref="V127:W127" si="300">V22+V57+V92</f>
        <v>-77560</v>
      </c>
      <c r="W127" s="129">
        <f t="shared" si="300"/>
        <v>-129210</v>
      </c>
      <c r="X127" s="129">
        <f t="shared" ref="X127:Y127" si="301">X22+X57+X92</f>
        <v>-26301</v>
      </c>
      <c r="Y127" s="129">
        <f t="shared" si="301"/>
        <v>-57616</v>
      </c>
      <c r="Z127" s="129">
        <f t="shared" ref="Z127:AA127" si="302">Z22+Z57+Z92</f>
        <v>-85299</v>
      </c>
      <c r="AA127" s="129">
        <f t="shared" si="302"/>
        <v>-202719</v>
      </c>
      <c r="AB127" s="129">
        <f t="shared" ref="AB127" si="303">AB22+AB57+AB92</f>
        <v>-28875</v>
      </c>
    </row>
    <row r="128" spans="2:28" ht="13" customHeight="1">
      <c r="B128" s="126" t="s">
        <v>363</v>
      </c>
      <c r="C128" s="126" t="s">
        <v>8</v>
      </c>
      <c r="D128" s="127">
        <f t="shared" ref="D128:N128" si="304">D126+D127</f>
        <v>28658</v>
      </c>
      <c r="E128" s="127">
        <f t="shared" si="304"/>
        <v>28492</v>
      </c>
      <c r="F128" s="127">
        <f t="shared" si="304"/>
        <v>12542</v>
      </c>
      <c r="G128" s="127">
        <f t="shared" si="304"/>
        <v>-14762</v>
      </c>
      <c r="H128" s="127">
        <f t="shared" si="304"/>
        <v>12493</v>
      </c>
      <c r="I128" s="127">
        <f t="shared" si="304"/>
        <v>16219</v>
      </c>
      <c r="J128" s="127">
        <f t="shared" si="304"/>
        <v>-24305</v>
      </c>
      <c r="K128" s="127">
        <f t="shared" si="304"/>
        <v>-202139</v>
      </c>
      <c r="L128" s="127">
        <f t="shared" si="304"/>
        <v>7421</v>
      </c>
      <c r="M128" s="127">
        <f t="shared" si="304"/>
        <v>-90432</v>
      </c>
      <c r="N128" s="127">
        <f t="shared" si="304"/>
        <v>-79567</v>
      </c>
      <c r="O128" s="127">
        <f t="shared" ref="O128:T128" si="305">O126+O127</f>
        <v>-103407</v>
      </c>
      <c r="P128" s="127">
        <f t="shared" si="305"/>
        <v>24463</v>
      </c>
      <c r="Q128" s="127">
        <f t="shared" si="305"/>
        <v>30386</v>
      </c>
      <c r="R128" s="127">
        <f t="shared" si="305"/>
        <v>23855</v>
      </c>
      <c r="S128" s="127">
        <f t="shared" si="305"/>
        <v>-20835</v>
      </c>
      <c r="T128" s="127">
        <f t="shared" si="305"/>
        <v>1915</v>
      </c>
      <c r="U128" s="127">
        <f t="shared" ref="U128:V128" si="306">U126+U127</f>
        <v>11901</v>
      </c>
      <c r="V128" s="127">
        <f t="shared" si="306"/>
        <v>9095</v>
      </c>
      <c r="W128" s="127">
        <f t="shared" ref="W128:X128" si="307">W126+W127</f>
        <v>-9498</v>
      </c>
      <c r="X128" s="127">
        <f t="shared" si="307"/>
        <v>2402</v>
      </c>
      <c r="Y128" s="127">
        <f t="shared" ref="Y128:AA128" si="308">Y126+Y127</f>
        <v>2643</v>
      </c>
      <c r="Z128" s="127">
        <f t="shared" si="308"/>
        <v>6603</v>
      </c>
      <c r="AA128" s="127">
        <f t="shared" si="308"/>
        <v>-53891</v>
      </c>
      <c r="AB128" s="127">
        <f t="shared" ref="AB128" si="309">AB126+AB127</f>
        <v>5754</v>
      </c>
    </row>
    <row r="129" spans="2:28" ht="13" customHeight="1">
      <c r="B129" s="130" t="s">
        <v>518</v>
      </c>
      <c r="C129" s="126" t="s">
        <v>514</v>
      </c>
      <c r="D129" s="127">
        <f>D117+D120+D123+D128+D122</f>
        <v>964719</v>
      </c>
      <c r="E129" s="127">
        <f t="shared" ref="E129:O129" si="310">E117+E120+E123+E128+E122+E121</f>
        <v>1962807</v>
      </c>
      <c r="F129" s="127">
        <f t="shared" si="310"/>
        <v>2944534</v>
      </c>
      <c r="G129" s="127">
        <f t="shared" si="310"/>
        <v>3955549</v>
      </c>
      <c r="H129" s="127">
        <f t="shared" si="310"/>
        <v>1026145</v>
      </c>
      <c r="I129" s="127">
        <f t="shared" si="310"/>
        <v>2029964</v>
      </c>
      <c r="J129" s="127">
        <f t="shared" si="310"/>
        <v>2985015</v>
      </c>
      <c r="K129" s="127">
        <f t="shared" si="310"/>
        <v>3788853</v>
      </c>
      <c r="L129" s="127">
        <f t="shared" si="310"/>
        <v>950190</v>
      </c>
      <c r="M129" s="127">
        <f t="shared" si="310"/>
        <v>1741370</v>
      </c>
      <c r="N129" s="127">
        <f t="shared" si="310"/>
        <v>2634040</v>
      </c>
      <c r="O129" s="127">
        <f t="shared" si="310"/>
        <v>3545488</v>
      </c>
      <c r="P129" s="127">
        <f t="shared" ref="P129:U129" si="311">P117+P120+P123+P128+P122+P121</f>
        <v>891362</v>
      </c>
      <c r="Q129" s="127">
        <f t="shared" si="311"/>
        <v>1784051</v>
      </c>
      <c r="R129" s="127">
        <f t="shared" si="311"/>
        <v>2702308</v>
      </c>
      <c r="S129" s="127">
        <f t="shared" si="311"/>
        <v>3637120.98863</v>
      </c>
      <c r="T129" s="127">
        <f t="shared" si="311"/>
        <v>1093167</v>
      </c>
      <c r="U129" s="127">
        <f t="shared" si="311"/>
        <v>2292959</v>
      </c>
      <c r="V129" s="127">
        <f t="shared" ref="V129:W129" si="312">V117+V120+V123+V128+V122+V121</f>
        <v>3059495</v>
      </c>
      <c r="W129" s="127">
        <f t="shared" si="312"/>
        <v>4381579</v>
      </c>
      <c r="X129" s="127">
        <f t="shared" ref="X129:Y129" si="313">X117+X120+X123+X128+X122+X121</f>
        <v>1329607</v>
      </c>
      <c r="Y129" s="127">
        <f t="shared" si="313"/>
        <v>2714731</v>
      </c>
      <c r="Z129" s="127">
        <f t="shared" ref="Z129:AA129" si="314">Z117+Z120+Z123+Z128+Z122+Z121</f>
        <v>4164296</v>
      </c>
      <c r="AA129" s="127">
        <f t="shared" si="314"/>
        <v>5632194</v>
      </c>
      <c r="AB129" s="127">
        <f t="shared" ref="AB129" si="315">AB117+AB120+AB123+AB128+AB122+AB121</f>
        <v>1498423</v>
      </c>
    </row>
    <row r="130" spans="2:28" ht="13" customHeight="1">
      <c r="B130" s="128" t="s">
        <v>340</v>
      </c>
      <c r="C130" s="128" t="s">
        <v>638</v>
      </c>
      <c r="D130" s="129">
        <f t="shared" ref="D130:S130" si="316">D25+D60+D95</f>
        <v>-242992</v>
      </c>
      <c r="E130" s="129">
        <f t="shared" si="316"/>
        <v>-480589</v>
      </c>
      <c r="F130" s="129">
        <f t="shared" si="316"/>
        <v>-752747</v>
      </c>
      <c r="G130" s="129">
        <f t="shared" si="316"/>
        <v>-1047818</v>
      </c>
      <c r="H130" s="129">
        <f t="shared" si="316"/>
        <v>-272962</v>
      </c>
      <c r="I130" s="129">
        <f t="shared" si="316"/>
        <v>-775502</v>
      </c>
      <c r="J130" s="129">
        <f t="shared" si="316"/>
        <v>-1100283</v>
      </c>
      <c r="K130" s="129">
        <f t="shared" si="316"/>
        <v>-1437158</v>
      </c>
      <c r="L130" s="129">
        <f t="shared" si="316"/>
        <v>-296153</v>
      </c>
      <c r="M130" s="129">
        <f t="shared" si="316"/>
        <v>-1211299</v>
      </c>
      <c r="N130" s="129">
        <f t="shared" si="316"/>
        <v>-1500642</v>
      </c>
      <c r="O130" s="129">
        <f t="shared" si="316"/>
        <v>-1733471</v>
      </c>
      <c r="P130" s="129">
        <f t="shared" si="316"/>
        <v>-243485</v>
      </c>
      <c r="Q130" s="129">
        <f t="shared" si="316"/>
        <v>-508465</v>
      </c>
      <c r="R130" s="129">
        <f t="shared" si="316"/>
        <v>-760194</v>
      </c>
      <c r="S130" s="129">
        <f t="shared" si="316"/>
        <v>-1006663</v>
      </c>
      <c r="T130" s="129">
        <f t="shared" ref="T130:U130" si="317">T25+T60+T95</f>
        <v>-208556</v>
      </c>
      <c r="U130" s="129">
        <f t="shared" si="317"/>
        <v>-438493</v>
      </c>
      <c r="V130" s="129">
        <f t="shared" ref="V130:W130" si="318">V25+V60+V95</f>
        <v>-701285</v>
      </c>
      <c r="W130" s="129">
        <f t="shared" si="318"/>
        <v>-949765</v>
      </c>
      <c r="X130" s="129">
        <f t="shared" ref="X130:Y130" si="319">X25+X60+X95</f>
        <v>-247141</v>
      </c>
      <c r="Y130" s="129">
        <f t="shared" si="319"/>
        <v>-394813</v>
      </c>
      <c r="Z130" s="129">
        <f t="shared" ref="Z130:AA130" si="320">Z25+Z60+Z95</f>
        <v>-549377</v>
      </c>
      <c r="AA130" s="129">
        <f t="shared" si="320"/>
        <v>-625292</v>
      </c>
      <c r="AB130" s="129">
        <f t="shared" ref="AB130" si="321">AB25+AB60+AB95</f>
        <v>-111243</v>
      </c>
    </row>
    <row r="131" spans="2:28" ht="13" customHeight="1">
      <c r="B131" s="128" t="s">
        <v>364</v>
      </c>
      <c r="C131" s="128" t="s">
        <v>341</v>
      </c>
      <c r="D131" s="129">
        <f t="shared" ref="D131:R131" si="322">D26+D61+D96</f>
        <v>0</v>
      </c>
      <c r="E131" s="129">
        <f t="shared" si="322"/>
        <v>0</v>
      </c>
      <c r="F131" s="129">
        <f t="shared" si="322"/>
        <v>0</v>
      </c>
      <c r="G131" s="129">
        <f t="shared" si="322"/>
        <v>0</v>
      </c>
      <c r="H131" s="129">
        <f t="shared" si="322"/>
        <v>0</v>
      </c>
      <c r="I131" s="129">
        <f t="shared" si="322"/>
        <v>0</v>
      </c>
      <c r="J131" s="129">
        <f t="shared" si="322"/>
        <v>0</v>
      </c>
      <c r="K131" s="129">
        <f t="shared" si="322"/>
        <v>0</v>
      </c>
      <c r="L131" s="129">
        <f t="shared" si="322"/>
        <v>0</v>
      </c>
      <c r="M131" s="129">
        <f t="shared" si="322"/>
        <v>-64400</v>
      </c>
      <c r="N131" s="129">
        <f t="shared" si="322"/>
        <v>-64400</v>
      </c>
      <c r="O131" s="129">
        <f t="shared" si="322"/>
        <v>-104368</v>
      </c>
      <c r="P131" s="129">
        <f t="shared" si="322"/>
        <v>0</v>
      </c>
      <c r="Q131" s="129">
        <f t="shared" si="322"/>
        <v>0</v>
      </c>
      <c r="R131" s="129">
        <f t="shared" si="322"/>
        <v>0</v>
      </c>
      <c r="S131" s="129">
        <f>S26+S61+S96</f>
        <v>-4947</v>
      </c>
      <c r="T131" s="129">
        <f t="shared" ref="T131:U131" si="323">T26+T61+T96</f>
        <v>-30901</v>
      </c>
      <c r="U131" s="129">
        <f t="shared" si="323"/>
        <v>-30901</v>
      </c>
      <c r="V131" s="129">
        <f t="shared" ref="V131:W131" si="324">V26+V61+V96</f>
        <v>-30901</v>
      </c>
      <c r="W131" s="129">
        <f t="shared" si="324"/>
        <v>-44476</v>
      </c>
      <c r="X131" s="129">
        <f t="shared" ref="X131:Y131" si="325">X26+X61+X96</f>
        <v>-248</v>
      </c>
      <c r="Y131" s="129">
        <f t="shared" si="325"/>
        <v>-3199</v>
      </c>
      <c r="Z131" s="129">
        <f t="shared" ref="Z131:AA131" si="326">Z26+Z61+Z96</f>
        <v>-3608</v>
      </c>
      <c r="AA131" s="129">
        <f t="shared" si="326"/>
        <v>-4912</v>
      </c>
      <c r="AB131" s="129">
        <f t="shared" ref="AB131" si="327">AB26+AB61+AB96</f>
        <v>-102</v>
      </c>
    </row>
    <row r="132" spans="2:28" ht="13" customHeight="1">
      <c r="B132" s="128" t="s">
        <v>464</v>
      </c>
      <c r="C132" s="128" t="s">
        <v>463</v>
      </c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>
        <f>O27</f>
        <v>-311</v>
      </c>
      <c r="P132" s="129"/>
      <c r="Q132" s="129"/>
      <c r="R132" s="129"/>
      <c r="S132" s="129">
        <f>S27</f>
        <v>-21386</v>
      </c>
      <c r="T132" s="129">
        <f>T27</f>
        <v>-23197</v>
      </c>
      <c r="U132" s="129">
        <v>-24438</v>
      </c>
      <c r="V132" s="129">
        <v>-39562</v>
      </c>
      <c r="W132" s="129">
        <v>-83168</v>
      </c>
      <c r="X132" s="129">
        <v>-506</v>
      </c>
      <c r="Y132" s="129">
        <v>-2786</v>
      </c>
      <c r="Z132" s="129">
        <v>-8175</v>
      </c>
      <c r="AA132" s="129">
        <v>-53983</v>
      </c>
      <c r="AB132" s="129">
        <f>AB27</f>
        <v>-1794</v>
      </c>
    </row>
    <row r="133" spans="2:28" ht="13" customHeight="1">
      <c r="B133" s="126" t="s">
        <v>519</v>
      </c>
      <c r="C133" s="126" t="s">
        <v>515</v>
      </c>
      <c r="D133" s="127">
        <f t="shared" ref="D133:N133" si="328">D129+D130+D131</f>
        <v>721727</v>
      </c>
      <c r="E133" s="127">
        <f t="shared" si="328"/>
        <v>1482218</v>
      </c>
      <c r="F133" s="127">
        <f t="shared" si="328"/>
        <v>2191787</v>
      </c>
      <c r="G133" s="127">
        <f t="shared" si="328"/>
        <v>2907731</v>
      </c>
      <c r="H133" s="127">
        <f t="shared" si="328"/>
        <v>753183</v>
      </c>
      <c r="I133" s="127">
        <f t="shared" si="328"/>
        <v>1254462</v>
      </c>
      <c r="J133" s="127">
        <f t="shared" si="328"/>
        <v>1884732</v>
      </c>
      <c r="K133" s="127">
        <f t="shared" si="328"/>
        <v>2351695</v>
      </c>
      <c r="L133" s="127">
        <f t="shared" si="328"/>
        <v>654037</v>
      </c>
      <c r="M133" s="127">
        <f t="shared" si="328"/>
        <v>465671</v>
      </c>
      <c r="N133" s="127">
        <f t="shared" si="328"/>
        <v>1068998</v>
      </c>
      <c r="O133" s="127">
        <f t="shared" ref="O133:R133" si="329">O129+O130+O131+O132</f>
        <v>1707338</v>
      </c>
      <c r="P133" s="127">
        <f t="shared" si="329"/>
        <v>647877</v>
      </c>
      <c r="Q133" s="127">
        <f t="shared" si="329"/>
        <v>1275586</v>
      </c>
      <c r="R133" s="127">
        <f t="shared" si="329"/>
        <v>1942114</v>
      </c>
      <c r="S133" s="127">
        <f>S129+S130+S131+S132</f>
        <v>2604124.98863</v>
      </c>
      <c r="T133" s="127">
        <f t="shared" ref="T133:U133" si="330">T129+T130+T131+T132</f>
        <v>830513</v>
      </c>
      <c r="U133" s="127">
        <f t="shared" si="330"/>
        <v>1799127</v>
      </c>
      <c r="V133" s="127">
        <f t="shared" ref="V133:W133" si="331">V129+V130+V131+V132</f>
        <v>2287747</v>
      </c>
      <c r="W133" s="127">
        <f t="shared" si="331"/>
        <v>3304170</v>
      </c>
      <c r="X133" s="127">
        <f t="shared" ref="X133:Y133" si="332">X129+X130+X131+X132</f>
        <v>1081712</v>
      </c>
      <c r="Y133" s="127">
        <f t="shared" si="332"/>
        <v>2313933</v>
      </c>
      <c r="Z133" s="127">
        <f t="shared" ref="Z133:AA133" si="333">Z129+Z130+Z131+Z132</f>
        <v>3603136</v>
      </c>
      <c r="AA133" s="127">
        <f t="shared" si="333"/>
        <v>4948007</v>
      </c>
      <c r="AB133" s="127">
        <f t="shared" ref="AB133" si="334">AB129+AB130+AB131+AB132</f>
        <v>1385284</v>
      </c>
    </row>
    <row r="134" spans="2:28" ht="13" customHeight="1">
      <c r="B134" s="128" t="s">
        <v>210</v>
      </c>
      <c r="C134" s="128" t="s">
        <v>319</v>
      </c>
      <c r="D134" s="129">
        <f t="shared" ref="D134:R134" si="335">D29+D64+D99</f>
        <v>-505983</v>
      </c>
      <c r="E134" s="129">
        <f t="shared" si="335"/>
        <v>-989154</v>
      </c>
      <c r="F134" s="129">
        <f t="shared" si="335"/>
        <v>-1452733</v>
      </c>
      <c r="G134" s="129">
        <f t="shared" si="335"/>
        <v>-1913189</v>
      </c>
      <c r="H134" s="129">
        <f t="shared" si="335"/>
        <v>-566629</v>
      </c>
      <c r="I134" s="129">
        <f t="shared" si="335"/>
        <v>-1016156</v>
      </c>
      <c r="J134" s="129">
        <f t="shared" si="335"/>
        <v>-1447148</v>
      </c>
      <c r="K134" s="129">
        <f t="shared" si="335"/>
        <v>-1856078</v>
      </c>
      <c r="L134" s="129">
        <f t="shared" si="335"/>
        <v>-535709</v>
      </c>
      <c r="M134" s="129">
        <f t="shared" si="335"/>
        <v>-986460</v>
      </c>
      <c r="N134" s="129">
        <f t="shared" si="335"/>
        <v>-1449589</v>
      </c>
      <c r="O134" s="129">
        <f t="shared" si="335"/>
        <v>-1885334</v>
      </c>
      <c r="P134" s="129">
        <f t="shared" si="335"/>
        <v>-476556</v>
      </c>
      <c r="Q134" s="129">
        <f t="shared" si="335"/>
        <v>-913540</v>
      </c>
      <c r="R134" s="129">
        <f t="shared" si="335"/>
        <v>-1365443</v>
      </c>
      <c r="S134" s="129">
        <f>S29+S64+S99</f>
        <v>-1819379</v>
      </c>
      <c r="T134" s="129">
        <f t="shared" ref="T134:U134" si="336">T29+T64+T99</f>
        <v>-557129</v>
      </c>
      <c r="U134" s="129">
        <f t="shared" si="336"/>
        <v>-1214540</v>
      </c>
      <c r="V134" s="129">
        <f t="shared" ref="V134:W134" si="337">V29+V64+V99</f>
        <v>-1737886</v>
      </c>
      <c r="W134" s="129">
        <f t="shared" si="337"/>
        <v>-2260231</v>
      </c>
      <c r="X134" s="129">
        <f t="shared" ref="X134:Y134" si="338">X29+X64+X99</f>
        <v>-572837</v>
      </c>
      <c r="Y134" s="129">
        <f t="shared" si="338"/>
        <v>-1127563</v>
      </c>
      <c r="Z134" s="129">
        <f t="shared" ref="Z134:AA134" si="339">Z29+Z64+Z99</f>
        <v>-1676424</v>
      </c>
      <c r="AA134" s="129">
        <f t="shared" si="339"/>
        <v>-2240952</v>
      </c>
      <c r="AB134" s="129">
        <f t="shared" ref="AB134" si="340">AB29+AB64+AB99</f>
        <v>-616526</v>
      </c>
    </row>
    <row r="135" spans="2:28" ht="13" customHeight="1">
      <c r="B135" s="126" t="s">
        <v>212</v>
      </c>
      <c r="C135" s="126" t="s">
        <v>516</v>
      </c>
      <c r="D135" s="127">
        <f t="shared" ref="D135:N135" si="341">D133+D134</f>
        <v>215744</v>
      </c>
      <c r="E135" s="127">
        <f t="shared" si="341"/>
        <v>493064</v>
      </c>
      <c r="F135" s="127">
        <f t="shared" si="341"/>
        <v>739054</v>
      </c>
      <c r="G135" s="127">
        <f t="shared" si="341"/>
        <v>994542</v>
      </c>
      <c r="H135" s="127">
        <f t="shared" si="341"/>
        <v>186554</v>
      </c>
      <c r="I135" s="127">
        <f t="shared" si="341"/>
        <v>238306</v>
      </c>
      <c r="J135" s="127">
        <f t="shared" si="341"/>
        <v>437584</v>
      </c>
      <c r="K135" s="127">
        <f t="shared" si="341"/>
        <v>495617</v>
      </c>
      <c r="L135" s="127">
        <f t="shared" si="341"/>
        <v>118328</v>
      </c>
      <c r="M135" s="127">
        <f t="shared" si="341"/>
        <v>-520789</v>
      </c>
      <c r="N135" s="127">
        <f t="shared" si="341"/>
        <v>-380591</v>
      </c>
      <c r="O135" s="127">
        <f t="shared" ref="O135:T135" si="342">O133+O134</f>
        <v>-177996</v>
      </c>
      <c r="P135" s="127">
        <f t="shared" si="342"/>
        <v>171321</v>
      </c>
      <c r="Q135" s="127">
        <f t="shared" si="342"/>
        <v>362046</v>
      </c>
      <c r="R135" s="127">
        <f t="shared" si="342"/>
        <v>576671</v>
      </c>
      <c r="S135" s="127">
        <f t="shared" si="342"/>
        <v>784745.98863000004</v>
      </c>
      <c r="T135" s="127">
        <f t="shared" si="342"/>
        <v>273384</v>
      </c>
      <c r="U135" s="127">
        <f t="shared" ref="U135:V135" si="343">U133+U134</f>
        <v>584587</v>
      </c>
      <c r="V135" s="127">
        <f t="shared" si="343"/>
        <v>549861</v>
      </c>
      <c r="W135" s="127">
        <f t="shared" ref="W135:X135" si="344">W133+W134</f>
        <v>1043939</v>
      </c>
      <c r="X135" s="127">
        <f t="shared" si="344"/>
        <v>508875</v>
      </c>
      <c r="Y135" s="127">
        <f t="shared" ref="Y135:AA135" si="345">Y133+Y134</f>
        <v>1186370</v>
      </c>
      <c r="Z135" s="127">
        <f t="shared" si="345"/>
        <v>1926712</v>
      </c>
      <c r="AA135" s="127">
        <f t="shared" si="345"/>
        <v>2707055</v>
      </c>
      <c r="AB135" s="127">
        <f t="shared" ref="AB135" si="346">AB133+AB134</f>
        <v>768758</v>
      </c>
    </row>
    <row r="136" spans="2:28" ht="13" customHeight="1">
      <c r="B136" s="128" t="s">
        <v>213</v>
      </c>
      <c r="C136" s="128" t="s">
        <v>9</v>
      </c>
      <c r="D136" s="129">
        <f t="shared" ref="D136:R136" si="347">D31+D66+D101</f>
        <v>0</v>
      </c>
      <c r="E136" s="129">
        <f t="shared" si="347"/>
        <v>0</v>
      </c>
      <c r="F136" s="129">
        <f t="shared" si="347"/>
        <v>0</v>
      </c>
      <c r="G136" s="129">
        <f t="shared" si="347"/>
        <v>0</v>
      </c>
      <c r="H136" s="129">
        <f t="shared" si="347"/>
        <v>0</v>
      </c>
      <c r="I136" s="129">
        <f t="shared" si="347"/>
        <v>0</v>
      </c>
      <c r="J136" s="129">
        <f t="shared" si="347"/>
        <v>0</v>
      </c>
      <c r="K136" s="129">
        <f t="shared" si="347"/>
        <v>0</v>
      </c>
      <c r="L136" s="129">
        <f t="shared" si="347"/>
        <v>0</v>
      </c>
      <c r="M136" s="129">
        <f t="shared" si="347"/>
        <v>0</v>
      </c>
      <c r="N136" s="129">
        <f t="shared" si="347"/>
        <v>0</v>
      </c>
      <c r="O136" s="129">
        <f t="shared" si="347"/>
        <v>0</v>
      </c>
      <c r="P136" s="129">
        <f t="shared" si="347"/>
        <v>0</v>
      </c>
      <c r="Q136" s="129">
        <f t="shared" si="347"/>
        <v>0</v>
      </c>
      <c r="R136" s="129">
        <f t="shared" si="347"/>
        <v>0</v>
      </c>
      <c r="S136" s="129">
        <f>S31+S66+S101</f>
        <v>0</v>
      </c>
      <c r="T136" s="129">
        <f t="shared" ref="T136:U136" si="348">T31+T66+T101</f>
        <v>0</v>
      </c>
      <c r="U136" s="129">
        <f t="shared" si="348"/>
        <v>0</v>
      </c>
      <c r="V136" s="129">
        <f t="shared" ref="V136:W136" si="349">V31+V66+V101</f>
        <v>0</v>
      </c>
      <c r="W136" s="129">
        <f t="shared" si="349"/>
        <v>0</v>
      </c>
      <c r="X136" s="129">
        <f t="shared" ref="X136:Y136" si="350">X31+X66+X101</f>
        <v>0</v>
      </c>
      <c r="Y136" s="129">
        <f t="shared" si="350"/>
        <v>0</v>
      </c>
      <c r="Z136" s="129">
        <f t="shared" ref="Z136:AA136" si="351">Z31+Z66+Z101</f>
        <v>0</v>
      </c>
      <c r="AA136" s="129">
        <f t="shared" si="351"/>
        <v>0</v>
      </c>
      <c r="AB136" s="129">
        <f t="shared" ref="AB136" si="352">AB31+AB66+AB101</f>
        <v>0</v>
      </c>
    </row>
    <row r="137" spans="2:28" ht="13" customHeight="1">
      <c r="B137" s="126" t="s">
        <v>520</v>
      </c>
      <c r="C137" s="126" t="s">
        <v>517</v>
      </c>
      <c r="D137" s="127">
        <f t="shared" ref="D137:N137" si="353">D135+D136</f>
        <v>215744</v>
      </c>
      <c r="E137" s="127">
        <f t="shared" si="353"/>
        <v>493064</v>
      </c>
      <c r="F137" s="127">
        <f t="shared" si="353"/>
        <v>739054</v>
      </c>
      <c r="G137" s="127">
        <f t="shared" si="353"/>
        <v>994542</v>
      </c>
      <c r="H137" s="127">
        <f t="shared" si="353"/>
        <v>186554</v>
      </c>
      <c r="I137" s="127">
        <f t="shared" si="353"/>
        <v>238306</v>
      </c>
      <c r="J137" s="127">
        <f t="shared" si="353"/>
        <v>437584</v>
      </c>
      <c r="K137" s="127">
        <f t="shared" si="353"/>
        <v>495617</v>
      </c>
      <c r="L137" s="127">
        <f t="shared" si="353"/>
        <v>118328</v>
      </c>
      <c r="M137" s="127">
        <f t="shared" si="353"/>
        <v>-520789</v>
      </c>
      <c r="N137" s="127">
        <f t="shared" si="353"/>
        <v>-380591</v>
      </c>
      <c r="O137" s="127">
        <f t="shared" ref="O137:T137" si="354">O135+O136</f>
        <v>-177996</v>
      </c>
      <c r="P137" s="127">
        <f t="shared" si="354"/>
        <v>171321</v>
      </c>
      <c r="Q137" s="127">
        <f t="shared" si="354"/>
        <v>362046</v>
      </c>
      <c r="R137" s="127">
        <f t="shared" si="354"/>
        <v>576671</v>
      </c>
      <c r="S137" s="127">
        <f t="shared" si="354"/>
        <v>784745.98863000004</v>
      </c>
      <c r="T137" s="127">
        <f t="shared" si="354"/>
        <v>273384</v>
      </c>
      <c r="U137" s="127">
        <f t="shared" ref="U137:V137" si="355">U135+U136</f>
        <v>584587</v>
      </c>
      <c r="V137" s="127">
        <f t="shared" si="355"/>
        <v>549861</v>
      </c>
      <c r="W137" s="127">
        <f t="shared" ref="W137:X137" si="356">W135+W136</f>
        <v>1043939</v>
      </c>
      <c r="X137" s="127">
        <f t="shared" si="356"/>
        <v>508875</v>
      </c>
      <c r="Y137" s="127">
        <f t="shared" ref="Y137:AA137" si="357">Y135+Y136</f>
        <v>1186370</v>
      </c>
      <c r="Z137" s="127">
        <f t="shared" si="357"/>
        <v>1926712</v>
      </c>
      <c r="AA137" s="127">
        <f t="shared" si="357"/>
        <v>2707055</v>
      </c>
      <c r="AB137" s="127">
        <f t="shared" ref="AB137" si="358">AB135+AB136</f>
        <v>768758</v>
      </c>
    </row>
    <row r="138" spans="2:28" ht="13" customHeight="1">
      <c r="B138" s="128" t="s">
        <v>490</v>
      </c>
      <c r="C138" s="128" t="s">
        <v>325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</row>
    <row r="139" spans="2:28" ht="13" customHeight="1">
      <c r="B139" s="126" t="s">
        <v>489</v>
      </c>
      <c r="C139" s="126" t="s">
        <v>365</v>
      </c>
      <c r="D139" s="127">
        <f>D137+D138</f>
        <v>215744</v>
      </c>
      <c r="E139" s="127">
        <f t="shared" ref="E139:R139" si="359">E137+E138</f>
        <v>493064</v>
      </c>
      <c r="F139" s="127">
        <f t="shared" si="359"/>
        <v>739054</v>
      </c>
      <c r="G139" s="127">
        <f t="shared" si="359"/>
        <v>994542</v>
      </c>
      <c r="H139" s="127">
        <f t="shared" si="359"/>
        <v>186554</v>
      </c>
      <c r="I139" s="127">
        <f t="shared" si="359"/>
        <v>238306</v>
      </c>
      <c r="J139" s="127">
        <f t="shared" si="359"/>
        <v>437584</v>
      </c>
      <c r="K139" s="127">
        <f t="shared" si="359"/>
        <v>495617</v>
      </c>
      <c r="L139" s="127">
        <f t="shared" si="359"/>
        <v>118328</v>
      </c>
      <c r="M139" s="127">
        <f t="shared" si="359"/>
        <v>-520789</v>
      </c>
      <c r="N139" s="127">
        <f t="shared" si="359"/>
        <v>-380591</v>
      </c>
      <c r="O139" s="127">
        <f t="shared" si="359"/>
        <v>-177996</v>
      </c>
      <c r="P139" s="127">
        <f t="shared" si="359"/>
        <v>171321</v>
      </c>
      <c r="Q139" s="127">
        <f t="shared" si="359"/>
        <v>362046</v>
      </c>
      <c r="R139" s="127">
        <f t="shared" si="359"/>
        <v>576671</v>
      </c>
      <c r="S139" s="127">
        <f>S137+S138</f>
        <v>784745.98863000004</v>
      </c>
      <c r="T139" s="127">
        <f t="shared" ref="T139:U139" si="360">T137+T138</f>
        <v>273384</v>
      </c>
      <c r="U139" s="127">
        <f t="shared" si="360"/>
        <v>584587</v>
      </c>
      <c r="V139" s="127">
        <f t="shared" ref="V139:W139" si="361">V137+V138</f>
        <v>549861</v>
      </c>
      <c r="W139" s="127">
        <f t="shared" si="361"/>
        <v>1043939</v>
      </c>
      <c r="X139" s="127">
        <f t="shared" ref="X139:Y139" si="362">X137+X138</f>
        <v>508875</v>
      </c>
      <c r="Y139" s="127">
        <f t="shared" si="362"/>
        <v>1186370</v>
      </c>
      <c r="Z139" s="127">
        <f t="shared" ref="Z139:AA139" si="363">Z137+Z138</f>
        <v>1926712</v>
      </c>
      <c r="AA139" s="127">
        <f t="shared" si="363"/>
        <v>2707055</v>
      </c>
      <c r="AB139" s="127">
        <f t="shared" ref="AB139" si="364">AB137+AB138</f>
        <v>768758</v>
      </c>
    </row>
    <row r="140" spans="2:28" ht="13" customHeight="1">
      <c r="B140" s="128" t="s">
        <v>366</v>
      </c>
      <c r="C140" s="128" t="s">
        <v>130</v>
      </c>
      <c r="D140" s="129">
        <f t="shared" ref="D140:S140" si="365">D35+D70+D105</f>
        <v>0</v>
      </c>
      <c r="E140" s="129">
        <f t="shared" si="365"/>
        <v>0</v>
      </c>
      <c r="F140" s="129">
        <f t="shared" si="365"/>
        <v>0</v>
      </c>
      <c r="G140" s="129">
        <f t="shared" si="365"/>
        <v>0</v>
      </c>
      <c r="H140" s="129">
        <f t="shared" si="365"/>
        <v>0</v>
      </c>
      <c r="I140" s="129">
        <f t="shared" si="365"/>
        <v>0</v>
      </c>
      <c r="J140" s="129">
        <f t="shared" si="365"/>
        <v>0</v>
      </c>
      <c r="K140" s="129">
        <f t="shared" si="365"/>
        <v>0</v>
      </c>
      <c r="L140" s="129">
        <f t="shared" si="365"/>
        <v>0</v>
      </c>
      <c r="M140" s="129">
        <f t="shared" si="365"/>
        <v>0</v>
      </c>
      <c r="N140" s="129">
        <f t="shared" si="365"/>
        <v>0</v>
      </c>
      <c r="O140" s="129">
        <f t="shared" si="365"/>
        <v>0</v>
      </c>
      <c r="P140" s="129">
        <f t="shared" si="365"/>
        <v>0</v>
      </c>
      <c r="Q140" s="129">
        <f t="shared" si="365"/>
        <v>0</v>
      </c>
      <c r="R140" s="129">
        <f t="shared" si="365"/>
        <v>0</v>
      </c>
      <c r="S140" s="129">
        <f t="shared" si="365"/>
        <v>0</v>
      </c>
      <c r="T140" s="129">
        <f t="shared" ref="T140:U140" si="366">T35+T70+T105</f>
        <v>0</v>
      </c>
      <c r="U140" s="129">
        <f t="shared" si="366"/>
        <v>0</v>
      </c>
      <c r="V140" s="129">
        <f t="shared" ref="V140:W140" si="367">V35+V70+V105</f>
        <v>0</v>
      </c>
      <c r="W140" s="129">
        <f t="shared" si="367"/>
        <v>0</v>
      </c>
      <c r="X140" s="129">
        <f t="shared" ref="X140:Y140" si="368">X35+X70+X105</f>
        <v>0</v>
      </c>
      <c r="Y140" s="129">
        <f t="shared" si="368"/>
        <v>0</v>
      </c>
      <c r="Z140" s="129">
        <f t="shared" ref="Z140:AA140" si="369">Z35+Z70+Z105</f>
        <v>0</v>
      </c>
      <c r="AA140" s="129">
        <f t="shared" si="369"/>
        <v>0</v>
      </c>
      <c r="AB140" s="129">
        <f t="shared" ref="AB140" si="370">AB35+AB70+AB105</f>
        <v>0</v>
      </c>
    </row>
    <row r="141" spans="2:28" ht="13" customHeight="1">
      <c r="B141" s="128" t="s">
        <v>367</v>
      </c>
      <c r="C141" s="128" t="s">
        <v>35</v>
      </c>
      <c r="D141" s="129">
        <f t="shared" ref="D141:S141" si="371">D36+D71+D106</f>
        <v>69444017</v>
      </c>
      <c r="E141" s="129">
        <f t="shared" si="371"/>
        <v>69437637</v>
      </c>
      <c r="F141" s="129">
        <f t="shared" si="371"/>
        <v>70208060</v>
      </c>
      <c r="G141" s="129">
        <f t="shared" si="371"/>
        <v>72387138</v>
      </c>
      <c r="H141" s="129">
        <f t="shared" si="371"/>
        <v>73579380</v>
      </c>
      <c r="I141" s="129">
        <f t="shared" si="371"/>
        <v>75935042</v>
      </c>
      <c r="J141" s="129">
        <f t="shared" si="371"/>
        <v>75844623</v>
      </c>
      <c r="K141" s="129">
        <f t="shared" si="371"/>
        <v>75544284</v>
      </c>
      <c r="L141" s="129">
        <f t="shared" si="371"/>
        <v>75344680</v>
      </c>
      <c r="M141" s="129">
        <f t="shared" si="371"/>
        <v>76308714</v>
      </c>
      <c r="N141" s="129">
        <f t="shared" si="371"/>
        <v>76369157</v>
      </c>
      <c r="O141" s="129">
        <f t="shared" si="371"/>
        <v>77423750</v>
      </c>
      <c r="P141" s="129">
        <f t="shared" si="371"/>
        <v>78648354</v>
      </c>
      <c r="Q141" s="129">
        <f t="shared" si="371"/>
        <v>77793465</v>
      </c>
      <c r="R141" s="129">
        <f t="shared" si="371"/>
        <v>77025685</v>
      </c>
      <c r="S141" s="129">
        <f t="shared" si="371"/>
        <v>81746043</v>
      </c>
      <c r="T141" s="129">
        <f t="shared" ref="T141:U141" si="372">T36+T71+T106</f>
        <v>83238741</v>
      </c>
      <c r="U141" s="129">
        <f t="shared" si="372"/>
        <v>82699902</v>
      </c>
      <c r="V141" s="129">
        <f t="shared" ref="V141:W141" si="373">V36+V71+V106</f>
        <v>82567330</v>
      </c>
      <c r="W141" s="129">
        <f t="shared" si="373"/>
        <v>81459989</v>
      </c>
      <c r="X141" s="129">
        <f t="shared" ref="X141:Y141" si="374">X36+X71+X106</f>
        <v>83035188</v>
      </c>
      <c r="Y141" s="129">
        <f t="shared" si="374"/>
        <v>82338565</v>
      </c>
      <c r="Z141" s="129">
        <f t="shared" ref="Z141:AA141" si="375">Z36+Z71+Z106</f>
        <v>85264421</v>
      </c>
      <c r="AA141" s="129">
        <f t="shared" si="375"/>
        <v>89150142</v>
      </c>
      <c r="AB141" s="129">
        <f t="shared" ref="AB141" si="376">AB36+AB71+AB106</f>
        <v>90451248</v>
      </c>
    </row>
    <row r="142" spans="2:28" ht="13" customHeight="1">
      <c r="B142" s="128" t="s">
        <v>368</v>
      </c>
      <c r="C142" s="128" t="s">
        <v>369</v>
      </c>
      <c r="D142" s="129">
        <f t="shared" ref="D142:S142" si="377">D37+D72+D107</f>
        <v>64225966</v>
      </c>
      <c r="E142" s="129">
        <f t="shared" si="377"/>
        <v>64056821</v>
      </c>
      <c r="F142" s="129">
        <f t="shared" si="377"/>
        <v>64691005</v>
      </c>
      <c r="G142" s="129">
        <f t="shared" si="377"/>
        <v>66666103</v>
      </c>
      <c r="H142" s="129">
        <f t="shared" si="377"/>
        <v>67991137</v>
      </c>
      <c r="I142" s="129">
        <f t="shared" si="377"/>
        <v>70396654</v>
      </c>
      <c r="J142" s="129">
        <f t="shared" si="377"/>
        <v>70162666</v>
      </c>
      <c r="K142" s="129">
        <f t="shared" si="377"/>
        <v>69881864</v>
      </c>
      <c r="L142" s="129">
        <f t="shared" si="377"/>
        <v>69679754</v>
      </c>
      <c r="M142" s="129">
        <f t="shared" si="377"/>
        <v>71138803</v>
      </c>
      <c r="N142" s="129">
        <f t="shared" si="377"/>
        <v>71112148</v>
      </c>
      <c r="O142" s="129">
        <f t="shared" si="377"/>
        <v>72075745</v>
      </c>
      <c r="P142" s="129">
        <f t="shared" si="377"/>
        <v>73331419</v>
      </c>
      <c r="Q142" s="129">
        <f t="shared" si="377"/>
        <v>72449448</v>
      </c>
      <c r="R142" s="129">
        <f t="shared" si="377"/>
        <v>71583680</v>
      </c>
      <c r="S142" s="129">
        <f t="shared" si="377"/>
        <v>77092610</v>
      </c>
      <c r="T142" s="129">
        <f t="shared" ref="T142:U142" si="378">T37+T72+T107</f>
        <v>78998298</v>
      </c>
      <c r="U142" s="129">
        <f t="shared" si="378"/>
        <v>78774876</v>
      </c>
      <c r="V142" s="129">
        <f t="shared" ref="V142:W142" si="379">V37+V72+V107</f>
        <v>78478516</v>
      </c>
      <c r="W142" s="129">
        <f t="shared" si="379"/>
        <v>76458221</v>
      </c>
      <c r="X142" s="129">
        <f t="shared" ref="X142:Y142" si="380">X37+X72+X107</f>
        <v>77324717</v>
      </c>
      <c r="Y142" s="129">
        <f t="shared" si="380"/>
        <v>75680947</v>
      </c>
      <c r="Z142" s="129">
        <f t="shared" ref="Z142:AA142" si="381">Z37+Z72+Z107</f>
        <v>77504704</v>
      </c>
      <c r="AA142" s="129">
        <f t="shared" si="381"/>
        <v>80558309</v>
      </c>
      <c r="AB142" s="129">
        <f t="shared" ref="AB142" si="382">AB37+AB72+AB107</f>
        <v>81485884</v>
      </c>
    </row>
    <row r="143" spans="2:28" ht="13" customHeight="1">
      <c r="Q143" s="106"/>
      <c r="R143" s="106"/>
      <c r="S143" s="106"/>
      <c r="U143" s="106"/>
      <c r="V143" s="106"/>
      <c r="W143" s="106"/>
      <c r="X143" s="106"/>
      <c r="Y143" s="106"/>
      <c r="Z143" s="106"/>
      <c r="AA143" s="106"/>
      <c r="AB143" s="106"/>
    </row>
    <row r="144" spans="2:28" ht="13" customHeight="1">
      <c r="B144" s="103" t="s">
        <v>375</v>
      </c>
      <c r="C144" s="103" t="s">
        <v>376</v>
      </c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7"/>
      <c r="R144" s="107"/>
      <c r="S144" s="107"/>
      <c r="T144" s="104"/>
      <c r="U144" s="107"/>
      <c r="V144" s="107"/>
      <c r="W144" s="107"/>
      <c r="X144" s="107"/>
      <c r="Y144" s="107"/>
      <c r="Z144" s="107"/>
      <c r="AA144" s="107"/>
      <c r="AB144" s="107"/>
    </row>
    <row r="145" spans="2:28" ht="13" customHeight="1">
      <c r="B145" s="126" t="s">
        <v>344</v>
      </c>
      <c r="C145" s="126" t="s">
        <v>345</v>
      </c>
      <c r="D145" s="127">
        <f t="shared" ref="D145:R145" si="383">D146+D147+D148</f>
        <v>0</v>
      </c>
      <c r="E145" s="127">
        <f t="shared" si="383"/>
        <v>0</v>
      </c>
      <c r="F145" s="127">
        <f t="shared" si="383"/>
        <v>0</v>
      </c>
      <c r="G145" s="127">
        <f t="shared" si="383"/>
        <v>0</v>
      </c>
      <c r="H145" s="127">
        <f t="shared" si="383"/>
        <v>0</v>
      </c>
      <c r="I145" s="127">
        <f t="shared" si="383"/>
        <v>0</v>
      </c>
      <c r="J145" s="127">
        <f t="shared" si="383"/>
        <v>0</v>
      </c>
      <c r="K145" s="127">
        <f t="shared" si="383"/>
        <v>0</v>
      </c>
      <c r="L145" s="127">
        <f t="shared" si="383"/>
        <v>0</v>
      </c>
      <c r="M145" s="127">
        <f t="shared" si="383"/>
        <v>0</v>
      </c>
      <c r="N145" s="127">
        <f t="shared" si="383"/>
        <v>0</v>
      </c>
      <c r="O145" s="127">
        <f t="shared" si="383"/>
        <v>0</v>
      </c>
      <c r="P145" s="127">
        <f t="shared" si="383"/>
        <v>0</v>
      </c>
      <c r="Q145" s="127">
        <f t="shared" si="383"/>
        <v>0</v>
      </c>
      <c r="R145" s="127">
        <f t="shared" si="383"/>
        <v>0</v>
      </c>
      <c r="S145" s="127">
        <f>S146+S147+S148</f>
        <v>0</v>
      </c>
      <c r="T145" s="127">
        <f t="shared" ref="T145:U145" si="384">T146+T147+T148</f>
        <v>0</v>
      </c>
      <c r="U145" s="127">
        <f t="shared" si="384"/>
        <v>0</v>
      </c>
      <c r="V145" s="127">
        <f t="shared" ref="V145:W145" si="385">V146+V147+V148</f>
        <v>0</v>
      </c>
      <c r="W145" s="127">
        <f t="shared" si="385"/>
        <v>0</v>
      </c>
      <c r="X145" s="127">
        <f t="shared" ref="X145:Y145" si="386">X146+X147+X148</f>
        <v>0</v>
      </c>
      <c r="Y145" s="127">
        <f t="shared" si="386"/>
        <v>0</v>
      </c>
      <c r="Z145" s="127">
        <f t="shared" ref="Z145:AA145" si="387">Z146+Z147+Z148</f>
        <v>0</v>
      </c>
      <c r="AA145" s="127">
        <f t="shared" si="387"/>
        <v>0</v>
      </c>
      <c r="AB145" s="127">
        <f t="shared" ref="AB145" si="388">AB146+AB147+AB148</f>
        <v>0</v>
      </c>
    </row>
    <row r="146" spans="2:28" ht="13" customHeight="1">
      <c r="B146" s="128" t="s">
        <v>346</v>
      </c>
      <c r="C146" s="128" t="s">
        <v>347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9">
        <v>0</v>
      </c>
      <c r="J146" s="128">
        <v>0</v>
      </c>
      <c r="K146" s="129">
        <v>0</v>
      </c>
      <c r="L146" s="129">
        <v>0</v>
      </c>
      <c r="M146" s="129">
        <v>0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</row>
    <row r="147" spans="2:28" ht="13" customHeight="1">
      <c r="B147" s="128" t="s">
        <v>348</v>
      </c>
      <c r="C147" s="128" t="s">
        <v>349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9">
        <v>0</v>
      </c>
      <c r="J147" s="128">
        <v>0</v>
      </c>
      <c r="K147" s="128">
        <v>0</v>
      </c>
      <c r="L147" s="128">
        <v>0</v>
      </c>
      <c r="M147" s="129">
        <v>0</v>
      </c>
      <c r="N147" s="128">
        <v>0</v>
      </c>
      <c r="O147" s="128">
        <v>0</v>
      </c>
      <c r="P147" s="128">
        <v>0</v>
      </c>
      <c r="Q147" s="129">
        <v>0</v>
      </c>
      <c r="R147" s="129">
        <v>0</v>
      </c>
      <c r="S147" s="129">
        <v>0</v>
      </c>
      <c r="T147" s="128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</row>
    <row r="148" spans="2:28" ht="13" customHeight="1">
      <c r="B148" s="128" t="s">
        <v>350</v>
      </c>
      <c r="C148" s="128" t="s">
        <v>351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9">
        <v>0</v>
      </c>
      <c r="J148" s="128">
        <v>0</v>
      </c>
      <c r="K148" s="129">
        <v>0</v>
      </c>
      <c r="L148" s="129">
        <v>0</v>
      </c>
      <c r="M148" s="129">
        <v>0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</row>
    <row r="149" spans="2:28" ht="13" customHeight="1">
      <c r="B149" s="126" t="s">
        <v>352</v>
      </c>
      <c r="C149" s="126" t="s">
        <v>353</v>
      </c>
      <c r="D149" s="127">
        <f t="shared" ref="D149:J149" si="389">D150+D151</f>
        <v>0</v>
      </c>
      <c r="E149" s="127">
        <f t="shared" si="389"/>
        <v>0</v>
      </c>
      <c r="F149" s="127">
        <f t="shared" si="389"/>
        <v>0</v>
      </c>
      <c r="G149" s="127">
        <f t="shared" si="389"/>
        <v>0</v>
      </c>
      <c r="H149" s="127">
        <f t="shared" si="389"/>
        <v>0</v>
      </c>
      <c r="I149" s="127">
        <f t="shared" si="389"/>
        <v>0</v>
      </c>
      <c r="J149" s="127">
        <f t="shared" si="389"/>
        <v>0</v>
      </c>
      <c r="K149" s="127">
        <f t="shared" ref="K149:S149" si="390">K150+K151</f>
        <v>0</v>
      </c>
      <c r="L149" s="127">
        <f t="shared" si="390"/>
        <v>0</v>
      </c>
      <c r="M149" s="127">
        <f t="shared" si="390"/>
        <v>0</v>
      </c>
      <c r="N149" s="127">
        <f t="shared" si="390"/>
        <v>0</v>
      </c>
      <c r="O149" s="127">
        <f t="shared" si="390"/>
        <v>0</v>
      </c>
      <c r="P149" s="127">
        <f t="shared" si="390"/>
        <v>0</v>
      </c>
      <c r="Q149" s="127">
        <f t="shared" si="390"/>
        <v>0</v>
      </c>
      <c r="R149" s="127">
        <f t="shared" si="390"/>
        <v>0</v>
      </c>
      <c r="S149" s="127">
        <f t="shared" si="390"/>
        <v>0</v>
      </c>
      <c r="T149" s="127">
        <f t="shared" ref="T149:U149" si="391">T150+T151</f>
        <v>0</v>
      </c>
      <c r="U149" s="127">
        <f t="shared" si="391"/>
        <v>0</v>
      </c>
      <c r="V149" s="127">
        <f t="shared" ref="V149:W149" si="392">V150+V151</f>
        <v>0</v>
      </c>
      <c r="W149" s="127">
        <f t="shared" si="392"/>
        <v>0</v>
      </c>
      <c r="X149" s="127">
        <f t="shared" ref="X149:Y149" si="393">X150+X151</f>
        <v>0</v>
      </c>
      <c r="Y149" s="127">
        <f t="shared" si="393"/>
        <v>0</v>
      </c>
      <c r="Z149" s="127">
        <f t="shared" ref="Z149:AA149" si="394">Z150+Z151</f>
        <v>0</v>
      </c>
      <c r="AA149" s="127">
        <f t="shared" si="394"/>
        <v>0</v>
      </c>
      <c r="AB149" s="127">
        <f t="shared" ref="AB149" si="395">AB150+AB151</f>
        <v>0</v>
      </c>
    </row>
    <row r="150" spans="2:28" ht="13" customHeight="1">
      <c r="B150" s="128" t="s">
        <v>354</v>
      </c>
      <c r="C150" s="128" t="s">
        <v>355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9">
        <v>0</v>
      </c>
      <c r="J150" s="128">
        <v>0</v>
      </c>
      <c r="K150" s="129">
        <v>0</v>
      </c>
      <c r="L150" s="129">
        <v>0</v>
      </c>
      <c r="M150" s="129">
        <v>0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</row>
    <row r="151" spans="2:28" ht="13" customHeight="1">
      <c r="B151" s="128" t="s">
        <v>356</v>
      </c>
      <c r="C151" s="128" t="s">
        <v>357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9">
        <v>0</v>
      </c>
      <c r="J151" s="128">
        <v>0</v>
      </c>
      <c r="K151" s="129">
        <v>0</v>
      </c>
      <c r="L151" s="129">
        <v>0</v>
      </c>
      <c r="M151" s="129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</row>
    <row r="152" spans="2:28" ht="13" customHeight="1">
      <c r="B152" s="126" t="s">
        <v>198</v>
      </c>
      <c r="C152" s="126" t="s">
        <v>1</v>
      </c>
      <c r="D152" s="127">
        <f t="shared" ref="D152:N152" si="396">D145+D149</f>
        <v>0</v>
      </c>
      <c r="E152" s="127">
        <f t="shared" si="396"/>
        <v>0</v>
      </c>
      <c r="F152" s="127">
        <f t="shared" si="396"/>
        <v>0</v>
      </c>
      <c r="G152" s="127">
        <f t="shared" si="396"/>
        <v>0</v>
      </c>
      <c r="H152" s="127">
        <f t="shared" si="396"/>
        <v>0</v>
      </c>
      <c r="I152" s="127">
        <f t="shared" si="396"/>
        <v>0</v>
      </c>
      <c r="J152" s="127">
        <f t="shared" si="396"/>
        <v>0</v>
      </c>
      <c r="K152" s="127">
        <f>K145+K149</f>
        <v>0</v>
      </c>
      <c r="L152" s="127">
        <f>L145+L149</f>
        <v>0</v>
      </c>
      <c r="M152" s="127">
        <f t="shared" si="396"/>
        <v>0</v>
      </c>
      <c r="N152" s="127">
        <f t="shared" si="396"/>
        <v>0</v>
      </c>
      <c r="O152" s="127">
        <f t="shared" ref="O152:T152" si="397">O145+O149</f>
        <v>0</v>
      </c>
      <c r="P152" s="127">
        <f t="shared" si="397"/>
        <v>0</v>
      </c>
      <c r="Q152" s="127">
        <f t="shared" si="397"/>
        <v>0</v>
      </c>
      <c r="R152" s="127">
        <f t="shared" si="397"/>
        <v>0</v>
      </c>
      <c r="S152" s="127">
        <f t="shared" si="397"/>
        <v>0</v>
      </c>
      <c r="T152" s="127">
        <f t="shared" si="397"/>
        <v>0</v>
      </c>
      <c r="U152" s="127">
        <f t="shared" ref="U152:V152" si="398">U145+U149</f>
        <v>0</v>
      </c>
      <c r="V152" s="127">
        <f t="shared" si="398"/>
        <v>0</v>
      </c>
      <c r="W152" s="127">
        <f t="shared" ref="W152:X152" si="399">W145+W149</f>
        <v>0</v>
      </c>
      <c r="X152" s="127">
        <f t="shared" si="399"/>
        <v>0</v>
      </c>
      <c r="Y152" s="127">
        <f t="shared" ref="Y152:AA152" si="400">Y145+Y149</f>
        <v>0</v>
      </c>
      <c r="Z152" s="127">
        <f t="shared" si="400"/>
        <v>0</v>
      </c>
      <c r="AA152" s="127">
        <f t="shared" si="400"/>
        <v>0</v>
      </c>
      <c r="AB152" s="127">
        <f t="shared" ref="AB152" si="401">AB145+AB149</f>
        <v>0</v>
      </c>
    </row>
    <row r="153" spans="2:28" ht="13" customHeight="1">
      <c r="B153" s="128" t="s">
        <v>199</v>
      </c>
      <c r="C153" s="128" t="s">
        <v>358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9">
        <v>0</v>
      </c>
      <c r="J153" s="128">
        <v>0</v>
      </c>
      <c r="K153" s="129">
        <v>0</v>
      </c>
      <c r="L153" s="129">
        <v>0</v>
      </c>
      <c r="M153" s="129">
        <v>0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</row>
    <row r="154" spans="2:28" ht="13" customHeight="1">
      <c r="B154" s="128" t="s">
        <v>200</v>
      </c>
      <c r="C154" s="128" t="s">
        <v>359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9">
        <v>0</v>
      </c>
      <c r="J154" s="128">
        <v>0</v>
      </c>
      <c r="K154" s="129">
        <v>0</v>
      </c>
      <c r="L154" s="129">
        <v>0</v>
      </c>
      <c r="M154" s="129">
        <v>0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</row>
    <row r="155" spans="2:28" ht="13" customHeight="1">
      <c r="B155" s="126" t="s">
        <v>201</v>
      </c>
      <c r="C155" s="126" t="s">
        <v>12</v>
      </c>
      <c r="D155" s="127">
        <f t="shared" ref="D155:J155" si="402">D153+D154</f>
        <v>0</v>
      </c>
      <c r="E155" s="127">
        <f t="shared" si="402"/>
        <v>0</v>
      </c>
      <c r="F155" s="127">
        <f t="shared" si="402"/>
        <v>0</v>
      </c>
      <c r="G155" s="127">
        <f t="shared" si="402"/>
        <v>0</v>
      </c>
      <c r="H155" s="127">
        <f t="shared" si="402"/>
        <v>0</v>
      </c>
      <c r="I155" s="127">
        <f t="shared" si="402"/>
        <v>0</v>
      </c>
      <c r="J155" s="127">
        <f t="shared" si="402"/>
        <v>0</v>
      </c>
      <c r="K155" s="127">
        <f t="shared" ref="K155:P155" si="403">K153+K154</f>
        <v>0</v>
      </c>
      <c r="L155" s="127">
        <f t="shared" si="403"/>
        <v>0</v>
      </c>
      <c r="M155" s="127">
        <f t="shared" si="403"/>
        <v>0</v>
      </c>
      <c r="N155" s="127">
        <f t="shared" si="403"/>
        <v>0</v>
      </c>
      <c r="O155" s="127">
        <f t="shared" si="403"/>
        <v>0</v>
      </c>
      <c r="P155" s="127">
        <f t="shared" si="403"/>
        <v>0</v>
      </c>
      <c r="Q155" s="129">
        <v>0</v>
      </c>
      <c r="R155" s="129">
        <v>0</v>
      </c>
      <c r="S155" s="129">
        <v>0</v>
      </c>
      <c r="T155" s="127">
        <f t="shared" ref="T155" si="404">T153+T154</f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</row>
    <row r="156" spans="2:28" ht="13" customHeight="1">
      <c r="B156" s="128" t="s">
        <v>202</v>
      </c>
      <c r="C156" s="128" t="s">
        <v>2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9">
        <v>0</v>
      </c>
      <c r="J156" s="128">
        <v>0</v>
      </c>
      <c r="K156" s="129">
        <v>0</v>
      </c>
      <c r="L156" s="129">
        <v>0</v>
      </c>
      <c r="M156" s="129">
        <v>0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</row>
    <row r="157" spans="2:28" ht="13" customHeight="1">
      <c r="B157" s="128" t="s">
        <v>203</v>
      </c>
      <c r="C157" s="128" t="s">
        <v>16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9">
        <v>0</v>
      </c>
      <c r="J157" s="128">
        <v>0</v>
      </c>
      <c r="K157" s="129">
        <v>0</v>
      </c>
      <c r="L157" s="129">
        <v>0</v>
      </c>
      <c r="M157" s="129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  <c r="Z157" s="129">
        <v>0</v>
      </c>
      <c r="AA157" s="129">
        <v>0</v>
      </c>
      <c r="AB157" s="129">
        <v>0</v>
      </c>
    </row>
    <row r="158" spans="2:28" ht="13" customHeight="1">
      <c r="B158" s="126" t="s">
        <v>204</v>
      </c>
      <c r="C158" s="126" t="s">
        <v>360</v>
      </c>
      <c r="D158" s="126">
        <f t="shared" ref="D158:J158" si="405">D159+D160</f>
        <v>0</v>
      </c>
      <c r="E158" s="126">
        <f t="shared" si="405"/>
        <v>0</v>
      </c>
      <c r="F158" s="126">
        <f t="shared" si="405"/>
        <v>0</v>
      </c>
      <c r="G158" s="126">
        <f t="shared" si="405"/>
        <v>0</v>
      </c>
      <c r="H158" s="126">
        <f t="shared" si="405"/>
        <v>0</v>
      </c>
      <c r="I158" s="127">
        <f t="shared" si="405"/>
        <v>0</v>
      </c>
      <c r="J158" s="126">
        <f t="shared" si="405"/>
        <v>0</v>
      </c>
      <c r="K158" s="126">
        <f t="shared" ref="K158:S158" si="406">K159+K160</f>
        <v>0</v>
      </c>
      <c r="L158" s="126">
        <f t="shared" si="406"/>
        <v>0</v>
      </c>
      <c r="M158" s="127">
        <f t="shared" si="406"/>
        <v>0</v>
      </c>
      <c r="N158" s="126">
        <f t="shared" si="406"/>
        <v>0</v>
      </c>
      <c r="O158" s="126">
        <f t="shared" si="406"/>
        <v>0</v>
      </c>
      <c r="P158" s="126">
        <f t="shared" si="406"/>
        <v>0</v>
      </c>
      <c r="Q158" s="127">
        <f t="shared" si="406"/>
        <v>0</v>
      </c>
      <c r="R158" s="127">
        <f t="shared" si="406"/>
        <v>0</v>
      </c>
      <c r="S158" s="127">
        <f t="shared" si="406"/>
        <v>0</v>
      </c>
      <c r="T158" s="126">
        <f t="shared" ref="T158:U158" si="407">T159+T160</f>
        <v>0</v>
      </c>
      <c r="U158" s="127">
        <f t="shared" si="407"/>
        <v>0</v>
      </c>
      <c r="V158" s="127">
        <f t="shared" ref="V158:W158" si="408">V159+V160</f>
        <v>0</v>
      </c>
      <c r="W158" s="127">
        <f t="shared" si="408"/>
        <v>0</v>
      </c>
      <c r="X158" s="127">
        <f t="shared" ref="X158:Y158" si="409">X159+X160</f>
        <v>0</v>
      </c>
      <c r="Y158" s="127">
        <f t="shared" si="409"/>
        <v>0</v>
      </c>
      <c r="Z158" s="127">
        <f t="shared" ref="Z158:AA158" si="410">Z159+Z160</f>
        <v>0</v>
      </c>
      <c r="AA158" s="127">
        <f t="shared" si="410"/>
        <v>0</v>
      </c>
      <c r="AB158" s="127">
        <f t="shared" ref="AB158" si="411">AB159+AB160</f>
        <v>0</v>
      </c>
    </row>
    <row r="159" spans="2:28" ht="13" customHeight="1">
      <c r="B159" s="128" t="s">
        <v>205</v>
      </c>
      <c r="C159" s="128" t="s">
        <v>361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9">
        <v>0</v>
      </c>
      <c r="J159" s="128">
        <v>0</v>
      </c>
      <c r="K159" s="129">
        <v>0</v>
      </c>
      <c r="L159" s="129">
        <v>0</v>
      </c>
      <c r="M159" s="129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  <c r="Z159" s="129">
        <v>0</v>
      </c>
      <c r="AA159" s="129">
        <v>0</v>
      </c>
      <c r="AB159" s="129">
        <v>0</v>
      </c>
    </row>
    <row r="160" spans="2:28" ht="13" customHeight="1">
      <c r="B160" s="128" t="s">
        <v>206</v>
      </c>
      <c r="C160" s="128" t="s">
        <v>14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9">
        <v>0</v>
      </c>
      <c r="J160" s="128">
        <v>0</v>
      </c>
      <c r="K160" s="129">
        <v>0</v>
      </c>
      <c r="L160" s="129">
        <v>0</v>
      </c>
      <c r="M160" s="129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  <c r="Z160" s="129">
        <v>0</v>
      </c>
      <c r="AA160" s="129">
        <v>0</v>
      </c>
      <c r="AB160" s="129">
        <v>0</v>
      </c>
    </row>
    <row r="161" spans="2:28" ht="13" customHeight="1">
      <c r="B161" s="128" t="s">
        <v>207</v>
      </c>
      <c r="C161" s="128" t="s">
        <v>6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9">
        <v>0</v>
      </c>
      <c r="J161" s="128">
        <v>0</v>
      </c>
      <c r="K161" s="129">
        <v>0</v>
      </c>
      <c r="L161" s="129">
        <v>0</v>
      </c>
      <c r="M161" s="129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  <c r="Z161" s="129">
        <v>0</v>
      </c>
      <c r="AA161" s="129">
        <v>0</v>
      </c>
      <c r="AB161" s="129">
        <v>0</v>
      </c>
    </row>
    <row r="162" spans="2:28" ht="13" customHeight="1">
      <c r="B162" s="128" t="s">
        <v>362</v>
      </c>
      <c r="C162" s="128" t="s">
        <v>7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9">
        <v>0</v>
      </c>
      <c r="J162" s="128">
        <v>0</v>
      </c>
      <c r="K162" s="129">
        <v>0</v>
      </c>
      <c r="L162" s="129">
        <v>0</v>
      </c>
      <c r="M162" s="129">
        <v>0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  <c r="Z162" s="129">
        <v>0</v>
      </c>
      <c r="AA162" s="129">
        <v>0</v>
      </c>
      <c r="AB162" s="129">
        <v>0</v>
      </c>
    </row>
    <row r="163" spans="2:28" ht="13" customHeight="1">
      <c r="B163" s="126" t="s">
        <v>363</v>
      </c>
      <c r="C163" s="126" t="s">
        <v>8</v>
      </c>
      <c r="D163" s="127">
        <f t="shared" ref="D163:J163" si="412">D161+D162</f>
        <v>0</v>
      </c>
      <c r="E163" s="127">
        <f t="shared" si="412"/>
        <v>0</v>
      </c>
      <c r="F163" s="127">
        <f t="shared" si="412"/>
        <v>0</v>
      </c>
      <c r="G163" s="127">
        <f t="shared" si="412"/>
        <v>0</v>
      </c>
      <c r="H163" s="127">
        <f t="shared" si="412"/>
        <v>0</v>
      </c>
      <c r="I163" s="127">
        <f t="shared" si="412"/>
        <v>0</v>
      </c>
      <c r="J163" s="127">
        <f t="shared" si="412"/>
        <v>0</v>
      </c>
      <c r="K163" s="127">
        <f t="shared" ref="K163:S163" si="413">K161+K162</f>
        <v>0</v>
      </c>
      <c r="L163" s="127">
        <f t="shared" si="413"/>
        <v>0</v>
      </c>
      <c r="M163" s="127">
        <f t="shared" si="413"/>
        <v>0</v>
      </c>
      <c r="N163" s="127">
        <f t="shared" si="413"/>
        <v>0</v>
      </c>
      <c r="O163" s="127">
        <f t="shared" si="413"/>
        <v>0</v>
      </c>
      <c r="P163" s="127">
        <f t="shared" si="413"/>
        <v>0</v>
      </c>
      <c r="Q163" s="127">
        <f t="shared" si="413"/>
        <v>0</v>
      </c>
      <c r="R163" s="127">
        <f t="shared" si="413"/>
        <v>0</v>
      </c>
      <c r="S163" s="127">
        <f t="shared" si="413"/>
        <v>0</v>
      </c>
      <c r="T163" s="127">
        <f t="shared" ref="T163:U163" si="414">T161+T162</f>
        <v>0</v>
      </c>
      <c r="U163" s="127">
        <f t="shared" si="414"/>
        <v>0</v>
      </c>
      <c r="V163" s="127">
        <f t="shared" ref="V163:W163" si="415">V161+V162</f>
        <v>0</v>
      </c>
      <c r="W163" s="127">
        <f t="shared" si="415"/>
        <v>0</v>
      </c>
      <c r="X163" s="127">
        <f t="shared" ref="X163:Y163" si="416">X161+X162</f>
        <v>0</v>
      </c>
      <c r="Y163" s="127">
        <f t="shared" si="416"/>
        <v>0</v>
      </c>
      <c r="Z163" s="127">
        <f t="shared" ref="Z163:AA163" si="417">Z161+Z162</f>
        <v>0</v>
      </c>
      <c r="AA163" s="127">
        <f t="shared" si="417"/>
        <v>0</v>
      </c>
      <c r="AB163" s="127">
        <f t="shared" ref="AB163" si="418">AB161+AB162</f>
        <v>0</v>
      </c>
    </row>
    <row r="164" spans="2:28" ht="13" customHeight="1">
      <c r="B164" s="130" t="s">
        <v>518</v>
      </c>
      <c r="C164" s="126" t="s">
        <v>514</v>
      </c>
      <c r="D164" s="127">
        <f>D152+D155+D158+D163+D157</f>
        <v>0</v>
      </c>
      <c r="E164" s="127">
        <f t="shared" ref="E164:R164" si="419">E152+E155+E158+E163+E157+E156</f>
        <v>0</v>
      </c>
      <c r="F164" s="127">
        <f t="shared" si="419"/>
        <v>0</v>
      </c>
      <c r="G164" s="127">
        <f t="shared" si="419"/>
        <v>0</v>
      </c>
      <c r="H164" s="127">
        <f t="shared" si="419"/>
        <v>0</v>
      </c>
      <c r="I164" s="127">
        <f t="shared" si="419"/>
        <v>0</v>
      </c>
      <c r="J164" s="127">
        <f t="shared" si="419"/>
        <v>0</v>
      </c>
      <c r="K164" s="127">
        <f t="shared" si="419"/>
        <v>0</v>
      </c>
      <c r="L164" s="127">
        <f t="shared" si="419"/>
        <v>0</v>
      </c>
      <c r="M164" s="127">
        <f t="shared" si="419"/>
        <v>0</v>
      </c>
      <c r="N164" s="127">
        <f t="shared" si="419"/>
        <v>0</v>
      </c>
      <c r="O164" s="127">
        <f t="shared" si="419"/>
        <v>0</v>
      </c>
      <c r="P164" s="127">
        <f t="shared" si="419"/>
        <v>0</v>
      </c>
      <c r="Q164" s="127">
        <f t="shared" si="419"/>
        <v>0</v>
      </c>
      <c r="R164" s="127">
        <f t="shared" si="419"/>
        <v>0</v>
      </c>
      <c r="S164" s="127">
        <f>S152+S155+S158+S163+S157+S156</f>
        <v>0</v>
      </c>
      <c r="T164" s="127">
        <f t="shared" ref="T164:U164" si="420">T152+T155+T158+T163+T157+T156</f>
        <v>0</v>
      </c>
      <c r="U164" s="127">
        <f t="shared" si="420"/>
        <v>0</v>
      </c>
      <c r="V164" s="127">
        <f t="shared" ref="V164:W164" si="421">V152+V155+V158+V163+V157+V156</f>
        <v>0</v>
      </c>
      <c r="W164" s="127">
        <f t="shared" si="421"/>
        <v>0</v>
      </c>
      <c r="X164" s="127">
        <f t="shared" ref="X164:Y164" si="422">X152+X155+X158+X163+X157+X156</f>
        <v>0</v>
      </c>
      <c r="Y164" s="127">
        <f t="shared" si="422"/>
        <v>0</v>
      </c>
      <c r="Z164" s="127">
        <f t="shared" ref="Z164:AA164" si="423">Z152+Z155+Z158+Z163+Z157+Z156</f>
        <v>0</v>
      </c>
      <c r="AA164" s="127">
        <f t="shared" si="423"/>
        <v>0</v>
      </c>
      <c r="AB164" s="127">
        <f t="shared" ref="AB164" si="424">AB152+AB155+AB158+AB163+AB157+AB156</f>
        <v>0</v>
      </c>
    </row>
    <row r="165" spans="2:28" ht="13" customHeight="1">
      <c r="B165" s="128" t="s">
        <v>340</v>
      </c>
      <c r="C165" s="128" t="s">
        <v>638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9">
        <v>0</v>
      </c>
      <c r="J165" s="128">
        <v>0</v>
      </c>
      <c r="K165" s="129">
        <v>0</v>
      </c>
      <c r="L165" s="129">
        <v>0</v>
      </c>
      <c r="M165" s="129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  <c r="Z165" s="129">
        <v>0</v>
      </c>
      <c r="AA165" s="129">
        <v>0</v>
      </c>
      <c r="AB165" s="129">
        <v>0</v>
      </c>
    </row>
    <row r="166" spans="2:28" ht="13" customHeight="1">
      <c r="B166" s="128" t="s">
        <v>364</v>
      </c>
      <c r="C166" s="128" t="s">
        <v>341</v>
      </c>
      <c r="D166" s="129">
        <v>-1756</v>
      </c>
      <c r="E166" s="129">
        <v>-2234</v>
      </c>
      <c r="F166" s="129">
        <v>-3266</v>
      </c>
      <c r="G166" s="129">
        <v>-6251</v>
      </c>
      <c r="H166" s="129">
        <v>-1644</v>
      </c>
      <c r="I166" s="129">
        <v>-1749</v>
      </c>
      <c r="J166" s="129">
        <v>-1756</v>
      </c>
      <c r="K166" s="129">
        <v>-5946</v>
      </c>
      <c r="L166" s="129">
        <v>1307</v>
      </c>
      <c r="M166" s="129">
        <v>-4190</v>
      </c>
      <c r="N166" s="129">
        <v>-5992</v>
      </c>
      <c r="O166" s="129">
        <v>-28454</v>
      </c>
      <c r="P166" s="129">
        <v>-477</v>
      </c>
      <c r="Q166" s="129">
        <v>-1876</v>
      </c>
      <c r="R166" s="129">
        <v>-3206</v>
      </c>
      <c r="S166" s="129">
        <v>-5535</v>
      </c>
      <c r="T166" s="129">
        <v>0</v>
      </c>
      <c r="U166" s="129">
        <v>-9322</v>
      </c>
      <c r="V166" s="129">
        <v>-10297</v>
      </c>
      <c r="W166" s="129">
        <v>-7915</v>
      </c>
      <c r="X166" s="129">
        <v>0</v>
      </c>
      <c r="Y166" s="129">
        <v>0</v>
      </c>
      <c r="Z166" s="129">
        <v>0</v>
      </c>
      <c r="AA166" s="129"/>
      <c r="AB166" s="129">
        <v>0</v>
      </c>
    </row>
    <row r="167" spans="2:28" ht="13" customHeight="1">
      <c r="B167" s="128" t="s">
        <v>464</v>
      </c>
      <c r="C167" s="128" t="s">
        <v>463</v>
      </c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>
        <v>0</v>
      </c>
      <c r="Y167" s="129">
        <v>0</v>
      </c>
      <c r="Z167" s="129">
        <v>0</v>
      </c>
      <c r="AA167" s="129"/>
      <c r="AB167" s="129">
        <v>0</v>
      </c>
    </row>
    <row r="168" spans="2:28" ht="13" customHeight="1">
      <c r="B168" s="126" t="s">
        <v>519</v>
      </c>
      <c r="C168" s="126" t="s">
        <v>515</v>
      </c>
      <c r="D168" s="127">
        <f t="shared" ref="D168:N168" si="425">D164+D165+D166</f>
        <v>-1756</v>
      </c>
      <c r="E168" s="127">
        <f t="shared" si="425"/>
        <v>-2234</v>
      </c>
      <c r="F168" s="127">
        <f t="shared" si="425"/>
        <v>-3266</v>
      </c>
      <c r="G168" s="127">
        <f t="shared" si="425"/>
        <v>-6251</v>
      </c>
      <c r="H168" s="127">
        <f t="shared" si="425"/>
        <v>-1644</v>
      </c>
      <c r="I168" s="127">
        <f t="shared" si="425"/>
        <v>-1749</v>
      </c>
      <c r="J168" s="127">
        <f t="shared" si="425"/>
        <v>-1756</v>
      </c>
      <c r="K168" s="127">
        <f t="shared" si="425"/>
        <v>-5946</v>
      </c>
      <c r="L168" s="127">
        <f t="shared" si="425"/>
        <v>1307</v>
      </c>
      <c r="M168" s="127">
        <f t="shared" si="425"/>
        <v>-4190</v>
      </c>
      <c r="N168" s="127">
        <f t="shared" si="425"/>
        <v>-5992</v>
      </c>
      <c r="O168" s="127">
        <f t="shared" ref="O168:T168" si="426">O164+O165+O166</f>
        <v>-28454</v>
      </c>
      <c r="P168" s="127">
        <f t="shared" si="426"/>
        <v>-477</v>
      </c>
      <c r="Q168" s="127">
        <f t="shared" si="426"/>
        <v>-1876</v>
      </c>
      <c r="R168" s="127">
        <f t="shared" si="426"/>
        <v>-3206</v>
      </c>
      <c r="S168" s="127">
        <f t="shared" si="426"/>
        <v>-5535</v>
      </c>
      <c r="T168" s="127">
        <f t="shared" si="426"/>
        <v>0</v>
      </c>
      <c r="U168" s="127">
        <f t="shared" ref="U168:V168" si="427">U164+U165+U166</f>
        <v>-9322</v>
      </c>
      <c r="V168" s="127">
        <f t="shared" si="427"/>
        <v>-10297</v>
      </c>
      <c r="W168" s="127">
        <f t="shared" ref="W168:X168" si="428">W164+W165+W166</f>
        <v>-7915</v>
      </c>
      <c r="X168" s="127">
        <f t="shared" si="428"/>
        <v>0</v>
      </c>
      <c r="Y168" s="127">
        <f t="shared" ref="Y168:AA168" si="429">Y164+Y165+Y166</f>
        <v>0</v>
      </c>
      <c r="Z168" s="127">
        <f t="shared" si="429"/>
        <v>0</v>
      </c>
      <c r="AA168" s="127">
        <f t="shared" si="429"/>
        <v>0</v>
      </c>
      <c r="AB168" s="127">
        <f t="shared" ref="AB168" si="430">AB164+AB165+AB166</f>
        <v>0</v>
      </c>
    </row>
    <row r="169" spans="2:28" ht="13" customHeight="1">
      <c r="B169" s="128" t="s">
        <v>210</v>
      </c>
      <c r="C169" s="128" t="s">
        <v>319</v>
      </c>
      <c r="D169" s="128">
        <v>0</v>
      </c>
      <c r="E169" s="129">
        <v>0</v>
      </c>
      <c r="F169" s="128">
        <v>0</v>
      </c>
      <c r="G169" s="128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  <c r="Z169" s="129">
        <v>0</v>
      </c>
      <c r="AA169" s="129">
        <v>0</v>
      </c>
      <c r="AB169" s="129">
        <v>0</v>
      </c>
    </row>
    <row r="170" spans="2:28" ht="13" customHeight="1">
      <c r="B170" s="126" t="s">
        <v>212</v>
      </c>
      <c r="C170" s="126" t="s">
        <v>516</v>
      </c>
      <c r="D170" s="127">
        <f t="shared" ref="D170:N170" si="431">D168+D169</f>
        <v>-1756</v>
      </c>
      <c r="E170" s="127">
        <f t="shared" si="431"/>
        <v>-2234</v>
      </c>
      <c r="F170" s="127">
        <f t="shared" si="431"/>
        <v>-3266</v>
      </c>
      <c r="G170" s="127">
        <f t="shared" si="431"/>
        <v>-6251</v>
      </c>
      <c r="H170" s="127">
        <f t="shared" si="431"/>
        <v>-1644</v>
      </c>
      <c r="I170" s="127">
        <f t="shared" si="431"/>
        <v>-1749</v>
      </c>
      <c r="J170" s="127">
        <f t="shared" si="431"/>
        <v>-1756</v>
      </c>
      <c r="K170" s="127">
        <f t="shared" si="431"/>
        <v>-5946</v>
      </c>
      <c r="L170" s="127">
        <f t="shared" si="431"/>
        <v>1307</v>
      </c>
      <c r="M170" s="127">
        <f t="shared" si="431"/>
        <v>-4190</v>
      </c>
      <c r="N170" s="127">
        <f t="shared" si="431"/>
        <v>-5992</v>
      </c>
      <c r="O170" s="127">
        <f t="shared" ref="O170:T170" si="432">O168+O169</f>
        <v>-28454</v>
      </c>
      <c r="P170" s="127">
        <f t="shared" si="432"/>
        <v>-477</v>
      </c>
      <c r="Q170" s="127">
        <f t="shared" si="432"/>
        <v>-1876</v>
      </c>
      <c r="R170" s="127">
        <f t="shared" si="432"/>
        <v>-3206</v>
      </c>
      <c r="S170" s="127">
        <f t="shared" si="432"/>
        <v>-5535</v>
      </c>
      <c r="T170" s="127">
        <f t="shared" si="432"/>
        <v>0</v>
      </c>
      <c r="U170" s="127">
        <f t="shared" ref="U170:V170" si="433">U168+U169</f>
        <v>-9322</v>
      </c>
      <c r="V170" s="127">
        <f t="shared" si="433"/>
        <v>-10297</v>
      </c>
      <c r="W170" s="127">
        <f t="shared" ref="W170:X170" si="434">W168+W169</f>
        <v>-7915</v>
      </c>
      <c r="X170" s="127">
        <f t="shared" si="434"/>
        <v>0</v>
      </c>
      <c r="Y170" s="127">
        <f t="shared" ref="Y170:AA170" si="435">Y168+Y169</f>
        <v>0</v>
      </c>
      <c r="Z170" s="127">
        <f t="shared" si="435"/>
        <v>0</v>
      </c>
      <c r="AA170" s="127">
        <f t="shared" si="435"/>
        <v>0</v>
      </c>
      <c r="AB170" s="127">
        <f t="shared" ref="AB170" si="436">AB168+AB169</f>
        <v>0</v>
      </c>
    </row>
    <row r="171" spans="2:28" ht="13" customHeight="1">
      <c r="B171" s="128" t="s">
        <v>213</v>
      </c>
      <c r="C171" s="128" t="s">
        <v>9</v>
      </c>
      <c r="D171" s="129">
        <v>-56653</v>
      </c>
      <c r="E171" s="129">
        <v>-136537</v>
      </c>
      <c r="F171" s="129">
        <v>-204678</v>
      </c>
      <c r="G171" s="129">
        <v>-274918</v>
      </c>
      <c r="H171" s="129">
        <v>-81421</v>
      </c>
      <c r="I171" s="129">
        <v>-143377</v>
      </c>
      <c r="J171" s="129">
        <v>-200049</v>
      </c>
      <c r="K171" s="129">
        <v>-241391</v>
      </c>
      <c r="L171" s="129">
        <v>-47504</v>
      </c>
      <c r="M171" s="129">
        <v>14664</v>
      </c>
      <c r="N171" s="129">
        <v>-33071</v>
      </c>
      <c r="O171" s="129">
        <v>-104783</v>
      </c>
      <c r="P171" s="129">
        <v>-62750</v>
      </c>
      <c r="Q171" s="129">
        <v>-128265</v>
      </c>
      <c r="R171" s="129">
        <v>-191178</v>
      </c>
      <c r="S171" s="129">
        <v>-297286</v>
      </c>
      <c r="T171" s="129">
        <v>-104214</v>
      </c>
      <c r="U171" s="129">
        <v>-189881</v>
      </c>
      <c r="V171" s="129">
        <v>-216741</v>
      </c>
      <c r="W171" s="129">
        <v>-352913</v>
      </c>
      <c r="X171" s="129">
        <v>-143091</v>
      </c>
      <c r="Y171" s="129">
        <v>-314519</v>
      </c>
      <c r="Z171" s="129">
        <v>-483300</v>
      </c>
      <c r="AA171" s="129">
        <v>-676930</v>
      </c>
      <c r="AB171" s="129">
        <v>-190633</v>
      </c>
    </row>
    <row r="172" spans="2:28" ht="13" customHeight="1">
      <c r="B172" s="126" t="s">
        <v>520</v>
      </c>
      <c r="C172" s="126" t="s">
        <v>517</v>
      </c>
      <c r="D172" s="127">
        <f t="shared" ref="D172:N172" si="437">D170+D171</f>
        <v>-58409</v>
      </c>
      <c r="E172" s="127">
        <f t="shared" si="437"/>
        <v>-138771</v>
      </c>
      <c r="F172" s="127">
        <f t="shared" si="437"/>
        <v>-207944</v>
      </c>
      <c r="G172" s="127">
        <f t="shared" si="437"/>
        <v>-281169</v>
      </c>
      <c r="H172" s="127">
        <f t="shared" si="437"/>
        <v>-83065</v>
      </c>
      <c r="I172" s="127">
        <f t="shared" si="437"/>
        <v>-145126</v>
      </c>
      <c r="J172" s="127">
        <f t="shared" si="437"/>
        <v>-201805</v>
      </c>
      <c r="K172" s="127">
        <f t="shared" si="437"/>
        <v>-247337</v>
      </c>
      <c r="L172" s="127">
        <f t="shared" si="437"/>
        <v>-46197</v>
      </c>
      <c r="M172" s="127">
        <f t="shared" si="437"/>
        <v>10474</v>
      </c>
      <c r="N172" s="127">
        <f t="shared" si="437"/>
        <v>-39063</v>
      </c>
      <c r="O172" s="127">
        <f t="shared" ref="O172:T172" si="438">O170+O171</f>
        <v>-133237</v>
      </c>
      <c r="P172" s="127">
        <f t="shared" si="438"/>
        <v>-63227</v>
      </c>
      <c r="Q172" s="127">
        <f t="shared" si="438"/>
        <v>-130141</v>
      </c>
      <c r="R172" s="127">
        <f t="shared" si="438"/>
        <v>-194384</v>
      </c>
      <c r="S172" s="127">
        <f t="shared" si="438"/>
        <v>-302821</v>
      </c>
      <c r="T172" s="127">
        <f t="shared" si="438"/>
        <v>-104214</v>
      </c>
      <c r="U172" s="127">
        <f t="shared" ref="U172:V172" si="439">U170+U171</f>
        <v>-199203</v>
      </c>
      <c r="V172" s="127">
        <f t="shared" si="439"/>
        <v>-227038</v>
      </c>
      <c r="W172" s="127">
        <f t="shared" ref="W172:X172" si="440">W170+W171</f>
        <v>-360828</v>
      </c>
      <c r="X172" s="127">
        <f t="shared" si="440"/>
        <v>-143091</v>
      </c>
      <c r="Y172" s="127">
        <f t="shared" ref="Y172:AA172" si="441">Y170+Y171</f>
        <v>-314519</v>
      </c>
      <c r="Z172" s="127">
        <f t="shared" si="441"/>
        <v>-483300</v>
      </c>
      <c r="AA172" s="127">
        <f t="shared" si="441"/>
        <v>-676930</v>
      </c>
      <c r="AB172" s="127">
        <f t="shared" ref="AB172" si="442">AB170+AB171</f>
        <v>-190633</v>
      </c>
    </row>
    <row r="173" spans="2:28" ht="13" customHeight="1">
      <c r="B173" s="128" t="s">
        <v>490</v>
      </c>
      <c r="C173" s="128" t="s">
        <v>325</v>
      </c>
      <c r="D173" s="128">
        <v>0</v>
      </c>
      <c r="E173" s="129">
        <v>0</v>
      </c>
      <c r="F173" s="128">
        <v>0</v>
      </c>
      <c r="G173" s="128">
        <v>0</v>
      </c>
      <c r="H173" s="129">
        <v>0</v>
      </c>
      <c r="I173" s="129">
        <v>0</v>
      </c>
      <c r="J173" s="128">
        <v>0</v>
      </c>
      <c r="K173" s="128"/>
      <c r="L173" s="128"/>
      <c r="M173" s="129">
        <v>-3052</v>
      </c>
      <c r="N173" s="129">
        <v>-11927</v>
      </c>
      <c r="O173" s="128"/>
      <c r="P173" s="128"/>
      <c r="Q173" s="129"/>
      <c r="R173" s="129"/>
      <c r="S173" s="129"/>
      <c r="T173" s="128"/>
      <c r="U173" s="129"/>
      <c r="V173" s="129"/>
      <c r="W173" s="129"/>
      <c r="X173" s="129">
        <v>0</v>
      </c>
      <c r="Y173" s="129">
        <v>0</v>
      </c>
      <c r="Z173" s="129">
        <v>0</v>
      </c>
      <c r="AA173" s="129"/>
      <c r="AB173" s="129"/>
    </row>
    <row r="174" spans="2:28" ht="13" customHeight="1">
      <c r="B174" s="126" t="s">
        <v>489</v>
      </c>
      <c r="C174" s="126" t="s">
        <v>365</v>
      </c>
      <c r="D174" s="127">
        <f t="shared" ref="D174:R174" si="443">D172+D173</f>
        <v>-58409</v>
      </c>
      <c r="E174" s="127">
        <f t="shared" si="443"/>
        <v>-138771</v>
      </c>
      <c r="F174" s="127">
        <f t="shared" si="443"/>
        <v>-207944</v>
      </c>
      <c r="G174" s="127">
        <f t="shared" si="443"/>
        <v>-281169</v>
      </c>
      <c r="H174" s="127">
        <f t="shared" si="443"/>
        <v>-83065</v>
      </c>
      <c r="I174" s="127">
        <f t="shared" si="443"/>
        <v>-145126</v>
      </c>
      <c r="J174" s="127">
        <f t="shared" si="443"/>
        <v>-201805</v>
      </c>
      <c r="K174" s="127">
        <f t="shared" si="443"/>
        <v>-247337</v>
      </c>
      <c r="L174" s="127">
        <f t="shared" si="443"/>
        <v>-46197</v>
      </c>
      <c r="M174" s="127">
        <f t="shared" si="443"/>
        <v>7422</v>
      </c>
      <c r="N174" s="127">
        <f t="shared" si="443"/>
        <v>-50990</v>
      </c>
      <c r="O174" s="127">
        <f t="shared" si="443"/>
        <v>-133237</v>
      </c>
      <c r="P174" s="127">
        <f t="shared" si="443"/>
        <v>-63227</v>
      </c>
      <c r="Q174" s="127">
        <f t="shared" si="443"/>
        <v>-130141</v>
      </c>
      <c r="R174" s="127">
        <f t="shared" si="443"/>
        <v>-194384</v>
      </c>
      <c r="S174" s="127">
        <f>S172+S173</f>
        <v>-302821</v>
      </c>
      <c r="T174" s="127">
        <f t="shared" ref="T174:U174" si="444">T172+T173</f>
        <v>-104214</v>
      </c>
      <c r="U174" s="127">
        <f t="shared" si="444"/>
        <v>-199203</v>
      </c>
      <c r="V174" s="127">
        <f t="shared" ref="V174:W174" si="445">V172+V173</f>
        <v>-227038</v>
      </c>
      <c r="W174" s="127">
        <f t="shared" si="445"/>
        <v>-360828</v>
      </c>
      <c r="X174" s="127">
        <f t="shared" ref="X174:Y174" si="446">X172+X173</f>
        <v>-143091</v>
      </c>
      <c r="Y174" s="127">
        <f t="shared" si="446"/>
        <v>-314519</v>
      </c>
      <c r="Z174" s="127">
        <f t="shared" ref="Z174:AA174" si="447">Z172+Z173</f>
        <v>-483300</v>
      </c>
      <c r="AA174" s="127">
        <f t="shared" si="447"/>
        <v>-676930</v>
      </c>
      <c r="AB174" s="127">
        <f t="shared" ref="AB174" si="448">AB172+AB173</f>
        <v>-190633</v>
      </c>
    </row>
    <row r="175" spans="2:28" ht="13" customHeight="1">
      <c r="B175" s="128" t="s">
        <v>366</v>
      </c>
      <c r="C175" s="128" t="s">
        <v>130</v>
      </c>
      <c r="D175" s="128">
        <v>0</v>
      </c>
      <c r="E175" s="129">
        <v>0</v>
      </c>
      <c r="F175" s="128">
        <v>0</v>
      </c>
      <c r="G175" s="128">
        <v>0</v>
      </c>
      <c r="H175" s="129">
        <v>0</v>
      </c>
      <c r="I175" s="129">
        <v>0</v>
      </c>
      <c r="J175" s="128">
        <v>0</v>
      </c>
      <c r="K175" s="128">
        <v>0</v>
      </c>
      <c r="L175" s="128">
        <v>0</v>
      </c>
      <c r="M175" s="129">
        <v>0</v>
      </c>
      <c r="N175" s="128">
        <v>0</v>
      </c>
      <c r="O175" s="128">
        <v>0</v>
      </c>
      <c r="P175" s="128">
        <v>0</v>
      </c>
      <c r="Q175" s="129">
        <v>0</v>
      </c>
      <c r="R175" s="129">
        <v>0</v>
      </c>
      <c r="S175" s="129">
        <v>0</v>
      </c>
      <c r="T175" s="128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  <c r="Z175" s="129">
        <v>0</v>
      </c>
      <c r="AA175" s="129">
        <v>0</v>
      </c>
      <c r="AB175" s="129">
        <v>0</v>
      </c>
    </row>
    <row r="176" spans="2:28" ht="13" customHeight="1">
      <c r="B176" s="128" t="s">
        <v>367</v>
      </c>
      <c r="C176" s="128" t="s">
        <v>35</v>
      </c>
      <c r="D176" s="129">
        <v>911762</v>
      </c>
      <c r="E176" s="129">
        <v>899622</v>
      </c>
      <c r="F176" s="129">
        <v>959163</v>
      </c>
      <c r="G176" s="129">
        <v>1032749</v>
      </c>
      <c r="H176" s="129">
        <v>1059503</v>
      </c>
      <c r="I176" s="129">
        <v>1104150</v>
      </c>
      <c r="J176" s="129">
        <v>1118607</v>
      </c>
      <c r="K176" s="129">
        <v>1169853</v>
      </c>
      <c r="L176" s="129">
        <v>1144752</v>
      </c>
      <c r="M176" s="129">
        <v>1363195</v>
      </c>
      <c r="N176" s="129">
        <v>1348182</v>
      </c>
      <c r="O176" s="129">
        <v>1218282</v>
      </c>
      <c r="P176" s="129">
        <v>1232264</v>
      </c>
      <c r="Q176" s="129">
        <v>1241630</v>
      </c>
      <c r="R176" s="129">
        <v>1176257</v>
      </c>
      <c r="S176" s="129">
        <v>1302329</v>
      </c>
      <c r="T176" s="129">
        <v>1410983</v>
      </c>
      <c r="U176" s="129">
        <v>1523556</v>
      </c>
      <c r="V176" s="129">
        <v>1503344</v>
      </c>
      <c r="W176" s="129">
        <v>1417183</v>
      </c>
      <c r="X176" s="129">
        <v>1289988</v>
      </c>
      <c r="Y176" s="129">
        <v>1188923</v>
      </c>
      <c r="Z176" s="129">
        <v>1056125</v>
      </c>
      <c r="AA176" s="129">
        <v>983992</v>
      </c>
      <c r="AB176" s="129">
        <v>928216</v>
      </c>
    </row>
    <row r="177" spans="2:28" ht="13" customHeight="1">
      <c r="B177" s="128" t="s">
        <v>368</v>
      </c>
      <c r="C177" s="128" t="s">
        <v>369</v>
      </c>
      <c r="D177" s="129">
        <v>233317</v>
      </c>
      <c r="E177" s="129">
        <v>147337</v>
      </c>
      <c r="F177" s="129">
        <v>181506</v>
      </c>
      <c r="G177" s="129">
        <v>267861</v>
      </c>
      <c r="H177" s="129">
        <v>106986</v>
      </c>
      <c r="I177" s="129">
        <v>70301</v>
      </c>
      <c r="J177" s="129">
        <v>75340</v>
      </c>
      <c r="K177" s="129">
        <v>94905</v>
      </c>
      <c r="L177" s="129">
        <v>10167</v>
      </c>
      <c r="M177" s="129">
        <v>165755</v>
      </c>
      <c r="N177" s="129">
        <v>139515</v>
      </c>
      <c r="O177" s="129">
        <v>6685</v>
      </c>
      <c r="P177" s="129">
        <v>3091</v>
      </c>
      <c r="Q177" s="129">
        <v>3459</v>
      </c>
      <c r="R177" s="129">
        <v>17600</v>
      </c>
      <c r="S177" s="129">
        <v>36560</v>
      </c>
      <c r="T177" s="129">
        <v>71751</v>
      </c>
      <c r="U177" s="129">
        <v>127565</v>
      </c>
      <c r="V177" s="129">
        <v>146427</v>
      </c>
      <c r="W177" s="129">
        <v>249086</v>
      </c>
      <c r="X177" s="129">
        <v>91958</v>
      </c>
      <c r="Y177" s="129">
        <v>161158</v>
      </c>
      <c r="Z177" s="129">
        <v>231570</v>
      </c>
      <c r="AA177" s="129">
        <v>326235</v>
      </c>
      <c r="AB177" s="129">
        <v>75579</v>
      </c>
    </row>
    <row r="178" spans="2:28" ht="13" customHeight="1">
      <c r="Q178" s="106"/>
      <c r="R178" s="106"/>
      <c r="S178" s="106"/>
      <c r="U178" s="106"/>
      <c r="V178" s="106"/>
      <c r="W178" s="106"/>
      <c r="X178" s="106"/>
      <c r="Y178" s="106"/>
      <c r="Z178" s="106"/>
      <c r="AA178" s="106"/>
      <c r="AB178" s="106"/>
    </row>
    <row r="179" spans="2:28" ht="13" customHeight="1">
      <c r="B179" s="103" t="s">
        <v>308</v>
      </c>
      <c r="C179" s="103" t="s">
        <v>377</v>
      </c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7"/>
      <c r="R179" s="107"/>
      <c r="S179" s="107"/>
      <c r="T179" s="104"/>
      <c r="U179" s="107"/>
      <c r="V179" s="107"/>
      <c r="W179" s="107"/>
      <c r="X179" s="107"/>
      <c r="Y179" s="107"/>
      <c r="Z179" s="107"/>
      <c r="AA179" s="107"/>
      <c r="AB179" s="107"/>
    </row>
    <row r="180" spans="2:28" ht="13" customHeight="1">
      <c r="B180" s="126" t="s">
        <v>344</v>
      </c>
      <c r="C180" s="126" t="s">
        <v>345</v>
      </c>
      <c r="D180" s="127">
        <f t="shared" ref="D180:O180" si="449">D181+D182+D183</f>
        <v>737652</v>
      </c>
      <c r="E180" s="127">
        <f t="shared" si="449"/>
        <v>1500940</v>
      </c>
      <c r="F180" s="127">
        <f t="shared" si="449"/>
        <v>2283636</v>
      </c>
      <c r="G180" s="127">
        <f t="shared" si="449"/>
        <v>3084524</v>
      </c>
      <c r="H180" s="127">
        <f t="shared" si="449"/>
        <v>803807</v>
      </c>
      <c r="I180" s="127">
        <f t="shared" si="449"/>
        <v>1633661</v>
      </c>
      <c r="J180" s="127">
        <f t="shared" si="449"/>
        <v>2436672</v>
      </c>
      <c r="K180" s="127">
        <f t="shared" si="449"/>
        <v>3184344</v>
      </c>
      <c r="L180" s="127">
        <f t="shared" si="449"/>
        <v>776884</v>
      </c>
      <c r="M180" s="127">
        <f t="shared" si="449"/>
        <v>1498865</v>
      </c>
      <c r="N180" s="127">
        <f t="shared" si="449"/>
        <v>2181980</v>
      </c>
      <c r="O180" s="127">
        <f t="shared" si="449"/>
        <v>2848726</v>
      </c>
      <c r="P180" s="127">
        <f t="shared" ref="P180:U180" si="450">P181+P182+P183</f>
        <v>670178</v>
      </c>
      <c r="Q180" s="127">
        <f t="shared" si="450"/>
        <v>1336837</v>
      </c>
      <c r="R180" s="127">
        <f t="shared" si="450"/>
        <v>2040357</v>
      </c>
      <c r="S180" s="127">
        <f t="shared" si="450"/>
        <v>2798234</v>
      </c>
      <c r="T180" s="127">
        <f t="shared" si="450"/>
        <v>862351</v>
      </c>
      <c r="U180" s="127">
        <f t="shared" si="450"/>
        <v>1834112</v>
      </c>
      <c r="V180" s="127">
        <f t="shared" ref="V180:W180" si="451">V181+V182+V183</f>
        <v>2420787</v>
      </c>
      <c r="W180" s="127">
        <f t="shared" si="451"/>
        <v>3559871</v>
      </c>
      <c r="X180" s="127">
        <f t="shared" ref="X180:Y180" si="452">X181+X182+X183</f>
        <v>1103062</v>
      </c>
      <c r="Y180" s="127">
        <f t="shared" si="452"/>
        <v>2263941</v>
      </c>
      <c r="Z180" s="127">
        <f t="shared" ref="Z180:AA180" si="453">Z181+Z182+Z183</f>
        <v>3483178</v>
      </c>
      <c r="AA180" s="127">
        <f t="shared" si="453"/>
        <v>4772370</v>
      </c>
      <c r="AB180" s="127">
        <f t="shared" ref="AB180" si="454">AB181+AB182+AB183</f>
        <v>1269409</v>
      </c>
    </row>
    <row r="181" spans="2:28" ht="13" customHeight="1">
      <c r="B181" s="128" t="s">
        <v>346</v>
      </c>
      <c r="C181" s="128" t="s">
        <v>347</v>
      </c>
      <c r="D181" s="129">
        <f t="shared" ref="D181:S181" si="455">D111+D146</f>
        <v>912897</v>
      </c>
      <c r="E181" s="129">
        <f t="shared" si="455"/>
        <v>1852496</v>
      </c>
      <c r="F181" s="129">
        <f t="shared" si="455"/>
        <v>2810476</v>
      </c>
      <c r="G181" s="129">
        <f t="shared" si="455"/>
        <v>3805457</v>
      </c>
      <c r="H181" s="129">
        <f t="shared" si="455"/>
        <v>986612</v>
      </c>
      <c r="I181" s="129">
        <f t="shared" si="455"/>
        <v>1998196</v>
      </c>
      <c r="J181" s="129">
        <f t="shared" si="455"/>
        <v>2983371</v>
      </c>
      <c r="K181" s="129">
        <f t="shared" si="455"/>
        <v>3908665</v>
      </c>
      <c r="L181" s="129">
        <f t="shared" si="455"/>
        <v>937951</v>
      </c>
      <c r="M181" s="129">
        <f t="shared" si="455"/>
        <v>1756968</v>
      </c>
      <c r="N181" s="129">
        <f t="shared" si="455"/>
        <v>2483553</v>
      </c>
      <c r="O181" s="129">
        <f t="shared" si="455"/>
        <v>3159045</v>
      </c>
      <c r="P181" s="129">
        <f t="shared" si="455"/>
        <v>682536</v>
      </c>
      <c r="Q181" s="129">
        <f t="shared" si="455"/>
        <v>1351668</v>
      </c>
      <c r="R181" s="129">
        <f t="shared" si="455"/>
        <v>2049239</v>
      </c>
      <c r="S181" s="129">
        <f t="shared" si="455"/>
        <v>2837304</v>
      </c>
      <c r="T181" s="129">
        <f t="shared" ref="T181:U181" si="456">T111+T146</f>
        <v>1023103</v>
      </c>
      <c r="U181" s="129">
        <f t="shared" si="456"/>
        <v>2362609</v>
      </c>
      <c r="V181" s="129">
        <f t="shared" ref="V181:W181" si="457">V111+V146</f>
        <v>3518060</v>
      </c>
      <c r="W181" s="129">
        <f t="shared" si="457"/>
        <v>4962625</v>
      </c>
      <c r="X181" s="129">
        <f t="shared" ref="X181:Y181" si="458">X111+X146</f>
        <v>1661479</v>
      </c>
      <c r="Y181" s="129">
        <f t="shared" si="458"/>
        <v>3350534</v>
      </c>
      <c r="Z181" s="129">
        <f t="shared" ref="Z181:AA181" si="459">Z111+Z146</f>
        <v>5087543</v>
      </c>
      <c r="AA181" s="129">
        <f t="shared" si="459"/>
        <v>6814190</v>
      </c>
      <c r="AB181" s="129">
        <f t="shared" ref="AB181" si="460">AB111+AB146</f>
        <v>1681564</v>
      </c>
    </row>
    <row r="182" spans="2:28" ht="13" customHeight="1">
      <c r="B182" s="128" t="s">
        <v>348</v>
      </c>
      <c r="C182" s="128" t="s">
        <v>349</v>
      </c>
      <c r="D182" s="129">
        <f t="shared" ref="D182:S182" si="461">D112+D147</f>
        <v>35078</v>
      </c>
      <c r="E182" s="129">
        <f t="shared" si="461"/>
        <v>87253</v>
      </c>
      <c r="F182" s="129">
        <f t="shared" si="461"/>
        <v>125716</v>
      </c>
      <c r="G182" s="129">
        <f t="shared" si="461"/>
        <v>150915</v>
      </c>
      <c r="H182" s="129">
        <f t="shared" si="461"/>
        <v>33474</v>
      </c>
      <c r="I182" s="129">
        <f t="shared" si="461"/>
        <v>68916</v>
      </c>
      <c r="J182" s="129">
        <f t="shared" si="461"/>
        <v>113080</v>
      </c>
      <c r="K182" s="129">
        <f t="shared" si="461"/>
        <v>153525</v>
      </c>
      <c r="L182" s="129">
        <f t="shared" si="461"/>
        <v>22486</v>
      </c>
      <c r="M182" s="129">
        <f t="shared" si="461"/>
        <v>60790</v>
      </c>
      <c r="N182" s="129">
        <f t="shared" si="461"/>
        <v>115114</v>
      </c>
      <c r="O182" s="129">
        <f t="shared" si="461"/>
        <v>173828</v>
      </c>
      <c r="P182" s="129">
        <f t="shared" si="461"/>
        <v>62130</v>
      </c>
      <c r="Q182" s="129">
        <f t="shared" si="461"/>
        <v>110917</v>
      </c>
      <c r="R182" s="129">
        <f t="shared" si="461"/>
        <v>163361</v>
      </c>
      <c r="S182" s="129">
        <f t="shared" si="461"/>
        <v>199338</v>
      </c>
      <c r="T182" s="129">
        <f t="shared" ref="T182:U182" si="462">T112+T147</f>
        <v>22660</v>
      </c>
      <c r="U182" s="129">
        <f t="shared" si="462"/>
        <v>32645</v>
      </c>
      <c r="V182" s="129">
        <f t="shared" ref="V182:W182" si="463">V112+V147</f>
        <v>60408</v>
      </c>
      <c r="W182" s="129">
        <f t="shared" si="463"/>
        <v>427541</v>
      </c>
      <c r="X182" s="129">
        <f t="shared" ref="X182:Y182" si="464">X112+X147</f>
        <v>148321</v>
      </c>
      <c r="Y182" s="129">
        <f t="shared" si="464"/>
        <v>293892</v>
      </c>
      <c r="Z182" s="129">
        <f t="shared" ref="Z182:AA182" si="465">Z112+Z147</f>
        <v>444365</v>
      </c>
      <c r="AA182" s="129">
        <f t="shared" si="465"/>
        <v>581779</v>
      </c>
      <c r="AB182" s="129">
        <f t="shared" ref="AB182" si="466">AB112+AB147</f>
        <v>142142</v>
      </c>
    </row>
    <row r="183" spans="2:28" ht="13" customHeight="1">
      <c r="B183" s="128" t="s">
        <v>350</v>
      </c>
      <c r="C183" s="128" t="s">
        <v>351</v>
      </c>
      <c r="D183" s="129">
        <f t="shared" ref="D183:S183" si="467">D113+D148</f>
        <v>-210323</v>
      </c>
      <c r="E183" s="129">
        <f t="shared" si="467"/>
        <v>-438809</v>
      </c>
      <c r="F183" s="129">
        <f t="shared" si="467"/>
        <v>-652556</v>
      </c>
      <c r="G183" s="129">
        <f t="shared" si="467"/>
        <v>-871848</v>
      </c>
      <c r="H183" s="129">
        <f t="shared" si="467"/>
        <v>-216279</v>
      </c>
      <c r="I183" s="129">
        <f t="shared" si="467"/>
        <v>-433451</v>
      </c>
      <c r="J183" s="129">
        <f t="shared" si="467"/>
        <v>-659779</v>
      </c>
      <c r="K183" s="129">
        <f t="shared" si="467"/>
        <v>-877846</v>
      </c>
      <c r="L183" s="129">
        <f t="shared" si="467"/>
        <v>-183553</v>
      </c>
      <c r="M183" s="129">
        <f t="shared" si="467"/>
        <v>-318893</v>
      </c>
      <c r="N183" s="129">
        <f t="shared" si="467"/>
        <v>-416687</v>
      </c>
      <c r="O183" s="129">
        <f t="shared" si="467"/>
        <v>-484147</v>
      </c>
      <c r="P183" s="129">
        <f t="shared" si="467"/>
        <v>-74488</v>
      </c>
      <c r="Q183" s="129">
        <f t="shared" si="467"/>
        <v>-125748</v>
      </c>
      <c r="R183" s="129">
        <f t="shared" si="467"/>
        <v>-172243</v>
      </c>
      <c r="S183" s="129">
        <f t="shared" si="467"/>
        <v>-238408</v>
      </c>
      <c r="T183" s="129">
        <f t="shared" ref="T183:U183" si="468">T113+T148</f>
        <v>-183412</v>
      </c>
      <c r="U183" s="129">
        <f t="shared" si="468"/>
        <v>-561142</v>
      </c>
      <c r="V183" s="129">
        <f t="shared" ref="V183:W183" si="469">V113+V148</f>
        <v>-1157681</v>
      </c>
      <c r="W183" s="129">
        <f t="shared" si="469"/>
        <v>-1830295</v>
      </c>
      <c r="X183" s="129">
        <f t="shared" ref="X183:Y183" si="470">X113+X148</f>
        <v>-706738</v>
      </c>
      <c r="Y183" s="129">
        <f t="shared" si="470"/>
        <v>-1380485</v>
      </c>
      <c r="Z183" s="129">
        <f t="shared" ref="Z183:AA183" si="471">Z113+Z148</f>
        <v>-2048730</v>
      </c>
      <c r="AA183" s="129">
        <f t="shared" si="471"/>
        <v>-2623599</v>
      </c>
      <c r="AB183" s="129">
        <f t="shared" ref="AB183" si="472">AB113+AB148</f>
        <v>-554297</v>
      </c>
    </row>
    <row r="184" spans="2:28" ht="13" customHeight="1">
      <c r="B184" s="126" t="s">
        <v>352</v>
      </c>
      <c r="C184" s="126" t="s">
        <v>353</v>
      </c>
      <c r="D184" s="127">
        <f t="shared" ref="D184:N184" si="473">D185+D186</f>
        <v>0</v>
      </c>
      <c r="E184" s="127">
        <f t="shared" si="473"/>
        <v>0</v>
      </c>
      <c r="F184" s="127">
        <f t="shared" si="473"/>
        <v>0</v>
      </c>
      <c r="G184" s="127">
        <f t="shared" si="473"/>
        <v>0</v>
      </c>
      <c r="H184" s="127">
        <f t="shared" si="473"/>
        <v>0</v>
      </c>
      <c r="I184" s="127">
        <f t="shared" si="473"/>
        <v>0</v>
      </c>
      <c r="J184" s="127">
        <f t="shared" si="473"/>
        <v>0</v>
      </c>
      <c r="K184" s="127">
        <f t="shared" si="473"/>
        <v>0</v>
      </c>
      <c r="L184" s="127">
        <f t="shared" si="473"/>
        <v>0</v>
      </c>
      <c r="M184" s="127">
        <f t="shared" si="473"/>
        <v>0</v>
      </c>
      <c r="N184" s="127">
        <f t="shared" si="473"/>
        <v>0</v>
      </c>
      <c r="O184" s="127">
        <f t="shared" ref="O184:T184" si="474">O185+O186</f>
        <v>0</v>
      </c>
      <c r="P184" s="127">
        <f t="shared" si="474"/>
        <v>0</v>
      </c>
      <c r="Q184" s="127">
        <f t="shared" si="474"/>
        <v>0</v>
      </c>
      <c r="R184" s="127">
        <f t="shared" si="474"/>
        <v>0</v>
      </c>
      <c r="S184" s="127">
        <f t="shared" si="474"/>
        <v>0</v>
      </c>
      <c r="T184" s="127">
        <f t="shared" si="474"/>
        <v>0</v>
      </c>
      <c r="U184" s="127">
        <f t="shared" ref="U184:V184" si="475">U185+U186</f>
        <v>0</v>
      </c>
      <c r="V184" s="127">
        <f t="shared" si="475"/>
        <v>0</v>
      </c>
      <c r="W184" s="127">
        <f t="shared" ref="W184:X184" si="476">W185+W186</f>
        <v>0</v>
      </c>
      <c r="X184" s="127">
        <f t="shared" si="476"/>
        <v>0</v>
      </c>
      <c r="Y184" s="127">
        <f t="shared" ref="Y184:AA184" si="477">Y185+Y186</f>
        <v>0</v>
      </c>
      <c r="Z184" s="127">
        <f t="shared" si="477"/>
        <v>0</v>
      </c>
      <c r="AA184" s="127">
        <f t="shared" si="477"/>
        <v>0</v>
      </c>
      <c r="AB184" s="127">
        <f t="shared" ref="AB184" si="478">AB185+AB186</f>
        <v>0</v>
      </c>
    </row>
    <row r="185" spans="2:28" ht="13" customHeight="1">
      <c r="B185" s="128" t="s">
        <v>354</v>
      </c>
      <c r="C185" s="128" t="s">
        <v>355</v>
      </c>
      <c r="D185" s="129">
        <f t="shared" ref="D185:S185" si="479">D115+D150</f>
        <v>829017</v>
      </c>
      <c r="E185" s="129">
        <f t="shared" si="479"/>
        <v>1684006</v>
      </c>
      <c r="F185" s="129">
        <f t="shared" si="479"/>
        <v>2559447</v>
      </c>
      <c r="G185" s="129">
        <f t="shared" si="479"/>
        <v>2706936</v>
      </c>
      <c r="H185" s="129">
        <f t="shared" si="479"/>
        <v>720828</v>
      </c>
      <c r="I185" s="129">
        <f t="shared" si="479"/>
        <v>1465118</v>
      </c>
      <c r="J185" s="129">
        <f t="shared" si="479"/>
        <v>2226580</v>
      </c>
      <c r="K185" s="129">
        <f t="shared" si="479"/>
        <v>3011710</v>
      </c>
      <c r="L185" s="129">
        <f t="shared" si="479"/>
        <v>736300</v>
      </c>
      <c r="M185" s="129">
        <f t="shared" si="479"/>
        <v>1180373</v>
      </c>
      <c r="N185" s="129">
        <f t="shared" si="479"/>
        <v>1520428</v>
      </c>
      <c r="O185" s="129">
        <f t="shared" si="479"/>
        <v>1833816</v>
      </c>
      <c r="P185" s="129">
        <f t="shared" si="479"/>
        <v>306553</v>
      </c>
      <c r="Q185" s="129">
        <f t="shared" si="479"/>
        <v>483212</v>
      </c>
      <c r="R185" s="129">
        <f t="shared" si="479"/>
        <v>725719</v>
      </c>
      <c r="S185" s="129">
        <f t="shared" si="479"/>
        <v>1197195</v>
      </c>
      <c r="T185" s="129">
        <f t="shared" ref="T185:U185" si="480">T115+T150</f>
        <v>864448</v>
      </c>
      <c r="U185" s="129">
        <f t="shared" si="480"/>
        <v>2365311</v>
      </c>
      <c r="V185" s="129">
        <f t="shared" ref="V185:W185" si="481">V115+V150</f>
        <v>4373755</v>
      </c>
      <c r="W185" s="129">
        <f t="shared" si="481"/>
        <v>6515018</v>
      </c>
      <c r="X185" s="129">
        <f t="shared" ref="X185:Y185" si="482">X115+X150</f>
        <v>1848733</v>
      </c>
      <c r="Y185" s="129">
        <f t="shared" si="482"/>
        <v>3769443</v>
      </c>
      <c r="Z185" s="129">
        <f t="shared" ref="Z185:AA185" si="483">Z115+Z150</f>
        <v>5726633</v>
      </c>
      <c r="AA185" s="129">
        <f t="shared" si="483"/>
        <v>7581816</v>
      </c>
      <c r="AB185" s="129">
        <f t="shared" ref="AB185" si="484">AB115+AB150</f>
        <v>1846572</v>
      </c>
    </row>
    <row r="186" spans="2:28" ht="13" customHeight="1">
      <c r="B186" s="128" t="s">
        <v>356</v>
      </c>
      <c r="C186" s="128" t="s">
        <v>357</v>
      </c>
      <c r="D186" s="129">
        <f t="shared" ref="D186:S186" si="485">D116+D151</f>
        <v>-829017</v>
      </c>
      <c r="E186" s="129">
        <f t="shared" si="485"/>
        <v>-1684006</v>
      </c>
      <c r="F186" s="129">
        <f t="shared" si="485"/>
        <v>-2559447</v>
      </c>
      <c r="G186" s="129">
        <f t="shared" si="485"/>
        <v>-2706936</v>
      </c>
      <c r="H186" s="129">
        <f t="shared" si="485"/>
        <v>-720828</v>
      </c>
      <c r="I186" s="129">
        <f t="shared" si="485"/>
        <v>-1465118</v>
      </c>
      <c r="J186" s="129">
        <f t="shared" si="485"/>
        <v>-2226580</v>
      </c>
      <c r="K186" s="129">
        <f t="shared" si="485"/>
        <v>-3011710</v>
      </c>
      <c r="L186" s="129">
        <f t="shared" si="485"/>
        <v>-736300</v>
      </c>
      <c r="M186" s="129">
        <f t="shared" si="485"/>
        <v>-1180373</v>
      </c>
      <c r="N186" s="129">
        <f t="shared" si="485"/>
        <v>-1520428</v>
      </c>
      <c r="O186" s="129">
        <f t="shared" si="485"/>
        <v>-1833816</v>
      </c>
      <c r="P186" s="129">
        <f t="shared" si="485"/>
        <v>-306553</v>
      </c>
      <c r="Q186" s="129">
        <f t="shared" si="485"/>
        <v>-483212</v>
      </c>
      <c r="R186" s="129">
        <f t="shared" si="485"/>
        <v>-725719</v>
      </c>
      <c r="S186" s="129">
        <f t="shared" si="485"/>
        <v>-1197195</v>
      </c>
      <c r="T186" s="129">
        <f t="shared" ref="T186:U186" si="486">T116+T151</f>
        <v>-864448</v>
      </c>
      <c r="U186" s="129">
        <f t="shared" si="486"/>
        <v>-2365311</v>
      </c>
      <c r="V186" s="129">
        <f t="shared" ref="V186:W186" si="487">V116+V151</f>
        <v>-4373755</v>
      </c>
      <c r="W186" s="129">
        <f t="shared" si="487"/>
        <v>-6515018</v>
      </c>
      <c r="X186" s="129">
        <f t="shared" ref="X186:Y186" si="488">X116+X151</f>
        <v>-1848733</v>
      </c>
      <c r="Y186" s="129">
        <f t="shared" si="488"/>
        <v>-3769443</v>
      </c>
      <c r="Z186" s="129">
        <f t="shared" ref="Z186:AA186" si="489">Z116+Z151</f>
        <v>-5726633</v>
      </c>
      <c r="AA186" s="129">
        <f t="shared" si="489"/>
        <v>-7581816</v>
      </c>
      <c r="AB186" s="129">
        <f t="shared" ref="AB186" si="490">AB116+AB151</f>
        <v>-1846572</v>
      </c>
    </row>
    <row r="187" spans="2:28" ht="13" customHeight="1">
      <c r="B187" s="126" t="s">
        <v>198</v>
      </c>
      <c r="C187" s="126" t="s">
        <v>1</v>
      </c>
      <c r="D187" s="127">
        <f t="shared" ref="D187:N187" si="491">D180+D184</f>
        <v>737652</v>
      </c>
      <c r="E187" s="127">
        <f t="shared" si="491"/>
        <v>1500940</v>
      </c>
      <c r="F187" s="127">
        <f t="shared" si="491"/>
        <v>2283636</v>
      </c>
      <c r="G187" s="127">
        <f t="shared" si="491"/>
        <v>3084524</v>
      </c>
      <c r="H187" s="127">
        <f t="shared" si="491"/>
        <v>803807</v>
      </c>
      <c r="I187" s="127">
        <f t="shared" si="491"/>
        <v>1633661</v>
      </c>
      <c r="J187" s="127">
        <f t="shared" si="491"/>
        <v>2436672</v>
      </c>
      <c r="K187" s="127">
        <f t="shared" si="491"/>
        <v>3184344</v>
      </c>
      <c r="L187" s="127">
        <f t="shared" si="491"/>
        <v>776884</v>
      </c>
      <c r="M187" s="127">
        <f t="shared" si="491"/>
        <v>1498865</v>
      </c>
      <c r="N187" s="127">
        <f t="shared" si="491"/>
        <v>2181980</v>
      </c>
      <c r="O187" s="127">
        <f t="shared" ref="O187:T187" si="492">O180+O184</f>
        <v>2848726</v>
      </c>
      <c r="P187" s="127">
        <f t="shared" si="492"/>
        <v>670178</v>
      </c>
      <c r="Q187" s="127">
        <f t="shared" si="492"/>
        <v>1336837</v>
      </c>
      <c r="R187" s="127">
        <f t="shared" si="492"/>
        <v>2040357</v>
      </c>
      <c r="S187" s="127">
        <f t="shared" si="492"/>
        <v>2798234</v>
      </c>
      <c r="T187" s="127">
        <f t="shared" si="492"/>
        <v>862351</v>
      </c>
      <c r="U187" s="127">
        <f t="shared" ref="U187:V187" si="493">U180+U184</f>
        <v>1834112</v>
      </c>
      <c r="V187" s="127">
        <f t="shared" si="493"/>
        <v>2420787</v>
      </c>
      <c r="W187" s="127">
        <f t="shared" ref="W187:X187" si="494">W180+W184</f>
        <v>3559871</v>
      </c>
      <c r="X187" s="127">
        <f t="shared" si="494"/>
        <v>1103062</v>
      </c>
      <c r="Y187" s="127">
        <f t="shared" ref="Y187:AA187" si="495">Y180+Y184</f>
        <v>2263941</v>
      </c>
      <c r="Z187" s="127">
        <f t="shared" si="495"/>
        <v>3483178</v>
      </c>
      <c r="AA187" s="127">
        <f t="shared" si="495"/>
        <v>4772370</v>
      </c>
      <c r="AB187" s="127">
        <f t="shared" ref="AB187" si="496">AB180+AB184</f>
        <v>1269409</v>
      </c>
    </row>
    <row r="188" spans="2:28" ht="13" customHeight="1">
      <c r="B188" s="128" t="s">
        <v>199</v>
      </c>
      <c r="C188" s="128" t="s">
        <v>358</v>
      </c>
      <c r="D188" s="129">
        <f t="shared" ref="D188:S188" si="497">D118+D153</f>
        <v>264369</v>
      </c>
      <c r="E188" s="129">
        <f t="shared" si="497"/>
        <v>529392</v>
      </c>
      <c r="F188" s="129">
        <f t="shared" si="497"/>
        <v>812859</v>
      </c>
      <c r="G188" s="129">
        <f t="shared" si="497"/>
        <v>1099468</v>
      </c>
      <c r="H188" s="129">
        <f t="shared" si="497"/>
        <v>266948</v>
      </c>
      <c r="I188" s="129">
        <f t="shared" si="497"/>
        <v>549422</v>
      </c>
      <c r="J188" s="129">
        <f t="shared" si="497"/>
        <v>851631</v>
      </c>
      <c r="K188" s="129">
        <f t="shared" si="497"/>
        <v>1157052</v>
      </c>
      <c r="L188" s="129">
        <f t="shared" si="497"/>
        <v>269347</v>
      </c>
      <c r="M188" s="129">
        <f t="shared" si="497"/>
        <v>563597</v>
      </c>
      <c r="N188" s="129">
        <f t="shared" si="497"/>
        <v>893025</v>
      </c>
      <c r="O188" s="129">
        <f t="shared" si="497"/>
        <v>1215749</v>
      </c>
      <c r="P188" s="129">
        <f t="shared" si="497"/>
        <v>316398</v>
      </c>
      <c r="Q188" s="129">
        <f t="shared" si="497"/>
        <v>661598</v>
      </c>
      <c r="R188" s="129">
        <f t="shared" si="497"/>
        <v>1041963</v>
      </c>
      <c r="S188" s="129">
        <f t="shared" si="497"/>
        <v>1441513.98863</v>
      </c>
      <c r="T188" s="129">
        <f t="shared" ref="T188:U188" si="498">T118+T153</f>
        <v>371419</v>
      </c>
      <c r="U188" s="129">
        <f t="shared" si="498"/>
        <v>803835</v>
      </c>
      <c r="V188" s="129">
        <f t="shared" ref="V188:W188" si="499">V118+V153</f>
        <v>1234434</v>
      </c>
      <c r="W188" s="129">
        <f t="shared" si="499"/>
        <v>1636555</v>
      </c>
      <c r="X188" s="129">
        <f t="shared" ref="X188:Y188" si="500">X118+X153</f>
        <v>420359</v>
      </c>
      <c r="Y188" s="129">
        <f t="shared" si="500"/>
        <v>887019</v>
      </c>
      <c r="Z188" s="129">
        <f t="shared" ref="Z188:AA188" si="501">Z118+Z153</f>
        <v>1325025</v>
      </c>
      <c r="AA188" s="129">
        <f t="shared" si="501"/>
        <v>1802068</v>
      </c>
      <c r="AB188" s="129">
        <f t="shared" ref="AB188" si="502">AB118+AB153</f>
        <v>450692</v>
      </c>
    </row>
    <row r="189" spans="2:28" ht="13" customHeight="1">
      <c r="B189" s="128" t="s">
        <v>200</v>
      </c>
      <c r="C189" s="128" t="s">
        <v>359</v>
      </c>
      <c r="D189" s="129">
        <f t="shared" ref="D189:S189" si="503">D119+D154</f>
        <v>-87495</v>
      </c>
      <c r="E189" s="129">
        <f t="shared" si="503"/>
        <v>-181923</v>
      </c>
      <c r="F189" s="129">
        <f t="shared" si="503"/>
        <v>-286828</v>
      </c>
      <c r="G189" s="129">
        <f t="shared" si="503"/>
        <v>-389469</v>
      </c>
      <c r="H189" s="129">
        <f t="shared" si="503"/>
        <v>-97084</v>
      </c>
      <c r="I189" s="129">
        <f t="shared" si="503"/>
        <v>-224535</v>
      </c>
      <c r="J189" s="129">
        <f t="shared" si="503"/>
        <v>-356500</v>
      </c>
      <c r="K189" s="129">
        <f t="shared" si="503"/>
        <v>-498994</v>
      </c>
      <c r="L189" s="129">
        <f t="shared" si="503"/>
        <v>-134176</v>
      </c>
      <c r="M189" s="129">
        <f t="shared" si="503"/>
        <v>-273842</v>
      </c>
      <c r="N189" s="129">
        <f t="shared" si="503"/>
        <v>-434168</v>
      </c>
      <c r="O189" s="129">
        <f t="shared" si="503"/>
        <v>-579903</v>
      </c>
      <c r="P189" s="129">
        <f t="shared" si="503"/>
        <v>-138688</v>
      </c>
      <c r="Q189" s="129">
        <f t="shared" si="503"/>
        <v>-300510</v>
      </c>
      <c r="R189" s="129">
        <f t="shared" si="503"/>
        <v>-491287</v>
      </c>
      <c r="S189" s="129">
        <f t="shared" si="503"/>
        <v>-674766</v>
      </c>
      <c r="T189" s="129">
        <f t="shared" ref="T189:U189" si="504">T119+T154</f>
        <v>-180742</v>
      </c>
      <c r="U189" s="129">
        <f t="shared" si="504"/>
        <v>-392558</v>
      </c>
      <c r="V189" s="129">
        <f t="shared" ref="V189:W189" si="505">V119+V154</f>
        <v>-621571</v>
      </c>
      <c r="W189" s="129">
        <f t="shared" si="505"/>
        <v>-840486</v>
      </c>
      <c r="X189" s="129">
        <f t="shared" ref="X189:Y189" si="506">X119+X154</f>
        <v>-211808</v>
      </c>
      <c r="Y189" s="129">
        <f t="shared" si="506"/>
        <v>-462307</v>
      </c>
      <c r="Z189" s="129">
        <f t="shared" ref="Z189:AA189" si="507">Z119+Z154</f>
        <v>-728040</v>
      </c>
      <c r="AA189" s="129">
        <f t="shared" si="507"/>
        <v>-964565</v>
      </c>
      <c r="AB189" s="129">
        <f t="shared" ref="AB189" si="508">AB119+AB154</f>
        <v>-239353</v>
      </c>
    </row>
    <row r="190" spans="2:28" ht="13" customHeight="1">
      <c r="B190" s="126" t="s">
        <v>201</v>
      </c>
      <c r="C190" s="126" t="s">
        <v>12</v>
      </c>
      <c r="D190" s="127">
        <f t="shared" ref="D190:N190" si="509">D188+D189</f>
        <v>176874</v>
      </c>
      <c r="E190" s="127">
        <f t="shared" si="509"/>
        <v>347469</v>
      </c>
      <c r="F190" s="127">
        <f t="shared" si="509"/>
        <v>526031</v>
      </c>
      <c r="G190" s="127">
        <f t="shared" si="509"/>
        <v>709999</v>
      </c>
      <c r="H190" s="127">
        <f t="shared" si="509"/>
        <v>169864</v>
      </c>
      <c r="I190" s="127">
        <f t="shared" si="509"/>
        <v>324887</v>
      </c>
      <c r="J190" s="127">
        <f t="shared" si="509"/>
        <v>495131</v>
      </c>
      <c r="K190" s="127">
        <f t="shared" si="509"/>
        <v>658058</v>
      </c>
      <c r="L190" s="127">
        <f t="shared" si="509"/>
        <v>135171</v>
      </c>
      <c r="M190" s="127">
        <f t="shared" si="509"/>
        <v>289755</v>
      </c>
      <c r="N190" s="127">
        <f t="shared" si="509"/>
        <v>458857</v>
      </c>
      <c r="O190" s="127">
        <f t="shared" ref="O190:T190" si="510">O188+O189</f>
        <v>635846</v>
      </c>
      <c r="P190" s="127">
        <f t="shared" si="510"/>
        <v>177710</v>
      </c>
      <c r="Q190" s="127">
        <f t="shared" si="510"/>
        <v>361088</v>
      </c>
      <c r="R190" s="127">
        <f t="shared" si="510"/>
        <v>550676</v>
      </c>
      <c r="S190" s="127">
        <f t="shared" si="510"/>
        <v>766747.98863000004</v>
      </c>
      <c r="T190" s="127">
        <f t="shared" si="510"/>
        <v>190677</v>
      </c>
      <c r="U190" s="127">
        <f t="shared" ref="U190:V190" si="511">U188+U189</f>
        <v>411277</v>
      </c>
      <c r="V190" s="127">
        <f t="shared" si="511"/>
        <v>612863</v>
      </c>
      <c r="W190" s="127">
        <f t="shared" ref="W190:X190" si="512">W188+W189</f>
        <v>796069</v>
      </c>
      <c r="X190" s="127">
        <f t="shared" si="512"/>
        <v>208551</v>
      </c>
      <c r="Y190" s="127">
        <f t="shared" ref="Y190:AA190" si="513">Y188+Y189</f>
        <v>424712</v>
      </c>
      <c r="Z190" s="127">
        <f t="shared" si="513"/>
        <v>596985</v>
      </c>
      <c r="AA190" s="127">
        <f t="shared" si="513"/>
        <v>837503</v>
      </c>
      <c r="AB190" s="127">
        <f t="shared" ref="AB190" si="514">AB188+AB189</f>
        <v>211339</v>
      </c>
    </row>
    <row r="191" spans="2:28" ht="13" customHeight="1">
      <c r="B191" s="128" t="s">
        <v>202</v>
      </c>
      <c r="C191" s="128" t="s">
        <v>2</v>
      </c>
      <c r="D191" s="129">
        <f t="shared" ref="D191:S191" si="515">D121+D156</f>
        <v>0</v>
      </c>
      <c r="E191" s="129">
        <f t="shared" si="515"/>
        <v>94</v>
      </c>
      <c r="F191" s="129">
        <f t="shared" si="515"/>
        <v>143</v>
      </c>
      <c r="G191" s="129">
        <f t="shared" si="515"/>
        <v>275</v>
      </c>
      <c r="H191" s="129">
        <f t="shared" si="515"/>
        <v>0</v>
      </c>
      <c r="I191" s="129">
        <f t="shared" si="515"/>
        <v>173</v>
      </c>
      <c r="J191" s="129">
        <f t="shared" si="515"/>
        <v>257</v>
      </c>
      <c r="K191" s="129">
        <f t="shared" si="515"/>
        <v>344</v>
      </c>
      <c r="L191" s="129">
        <f t="shared" si="515"/>
        <v>114</v>
      </c>
      <c r="M191" s="129">
        <f t="shared" si="515"/>
        <v>221</v>
      </c>
      <c r="N191" s="129">
        <f t="shared" si="515"/>
        <v>594</v>
      </c>
      <c r="O191" s="129">
        <f t="shared" si="515"/>
        <v>700</v>
      </c>
      <c r="P191" s="129">
        <f t="shared" si="515"/>
        <v>106</v>
      </c>
      <c r="Q191" s="129">
        <f t="shared" si="515"/>
        <v>277</v>
      </c>
      <c r="R191" s="129">
        <f t="shared" si="515"/>
        <v>397</v>
      </c>
      <c r="S191" s="129">
        <f t="shared" si="515"/>
        <v>532</v>
      </c>
      <c r="T191" s="129">
        <f t="shared" ref="T191:U191" si="516">T121+T156</f>
        <v>139</v>
      </c>
      <c r="U191" s="129">
        <f t="shared" si="516"/>
        <v>291</v>
      </c>
      <c r="V191" s="129">
        <f t="shared" ref="V191:W191" si="517">V121+V156</f>
        <v>448</v>
      </c>
      <c r="W191" s="129">
        <f t="shared" si="517"/>
        <v>627</v>
      </c>
      <c r="X191" s="129">
        <f t="shared" ref="X191:Y191" si="518">X121+X156</f>
        <v>47</v>
      </c>
      <c r="Y191" s="129">
        <f t="shared" si="518"/>
        <v>93</v>
      </c>
      <c r="Z191" s="129">
        <f t="shared" ref="Z191:AA191" si="519">Z121+Z156</f>
        <v>136</v>
      </c>
      <c r="AA191" s="129">
        <f t="shared" si="519"/>
        <v>185</v>
      </c>
      <c r="AB191" s="129">
        <f t="shared" ref="AB191" si="520">AB121+AB156</f>
        <v>48</v>
      </c>
    </row>
    <row r="192" spans="2:28" ht="13" customHeight="1">
      <c r="B192" s="128" t="s">
        <v>203</v>
      </c>
      <c r="C192" s="128" t="s">
        <v>16</v>
      </c>
      <c r="D192" s="129">
        <f t="shared" ref="D192:S192" si="521">D122+D157</f>
        <v>9990</v>
      </c>
      <c r="E192" s="129">
        <f t="shared" si="521"/>
        <v>53018</v>
      </c>
      <c r="F192" s="129">
        <f t="shared" si="521"/>
        <v>81730</v>
      </c>
      <c r="G192" s="129">
        <f t="shared" si="521"/>
        <v>97684</v>
      </c>
      <c r="H192" s="129">
        <f t="shared" si="521"/>
        <v>22686</v>
      </c>
      <c r="I192" s="129">
        <f t="shared" si="521"/>
        <v>33266</v>
      </c>
      <c r="J192" s="129">
        <f t="shared" si="521"/>
        <v>48129</v>
      </c>
      <c r="K192" s="129">
        <f t="shared" si="521"/>
        <v>102010</v>
      </c>
      <c r="L192" s="129">
        <f t="shared" si="521"/>
        <v>1339</v>
      </c>
      <c r="M192" s="129">
        <f t="shared" si="521"/>
        <v>16343</v>
      </c>
      <c r="N192" s="129">
        <f t="shared" si="521"/>
        <v>36086</v>
      </c>
      <c r="O192" s="129">
        <f t="shared" si="521"/>
        <v>79070</v>
      </c>
      <c r="P192" s="129">
        <f t="shared" si="521"/>
        <v>18731</v>
      </c>
      <c r="Q192" s="129">
        <f t="shared" si="521"/>
        <v>53169</v>
      </c>
      <c r="R192" s="129">
        <f t="shared" si="521"/>
        <v>81230</v>
      </c>
      <c r="S192" s="129">
        <f t="shared" si="521"/>
        <v>87149</v>
      </c>
      <c r="T192" s="129">
        <f t="shared" ref="T192:U192" si="522">T122+T157</f>
        <v>37795</v>
      </c>
      <c r="U192" s="129">
        <f t="shared" si="522"/>
        <v>33894</v>
      </c>
      <c r="V192" s="129">
        <f t="shared" ref="V192:W192" si="523">V122+V157</f>
        <v>14647</v>
      </c>
      <c r="W192" s="129">
        <f t="shared" si="523"/>
        <v>32521</v>
      </c>
      <c r="X192" s="129">
        <f t="shared" ref="X192:Y192" si="524">X122+X157</f>
        <v>13324</v>
      </c>
      <c r="Y192" s="129">
        <f t="shared" si="524"/>
        <v>19577</v>
      </c>
      <c r="Z192" s="129">
        <f t="shared" ref="Z192:AA192" si="525">Z122+Z157</f>
        <v>70704</v>
      </c>
      <c r="AA192" s="129">
        <f t="shared" si="525"/>
        <v>63776</v>
      </c>
      <c r="AB192" s="129">
        <f t="shared" ref="AB192" si="526">AB122+AB157</f>
        <v>10976</v>
      </c>
    </row>
    <row r="193" spans="2:28" ht="13" customHeight="1">
      <c r="B193" s="126" t="s">
        <v>204</v>
      </c>
      <c r="C193" s="126" t="s">
        <v>360</v>
      </c>
      <c r="D193" s="127">
        <f t="shared" ref="D193:N193" si="527">D194+D195</f>
        <v>11545</v>
      </c>
      <c r="E193" s="126">
        <f t="shared" si="527"/>
        <v>32794</v>
      </c>
      <c r="F193" s="127">
        <f t="shared" si="527"/>
        <v>40452</v>
      </c>
      <c r="G193" s="127">
        <f t="shared" si="527"/>
        <v>77829</v>
      </c>
      <c r="H193" s="127">
        <f t="shared" si="527"/>
        <v>17295</v>
      </c>
      <c r="I193" s="127">
        <f t="shared" si="527"/>
        <v>21758</v>
      </c>
      <c r="J193" s="127">
        <f t="shared" si="527"/>
        <v>29131</v>
      </c>
      <c r="K193" s="127">
        <f t="shared" si="527"/>
        <v>46236</v>
      </c>
      <c r="L193" s="127">
        <f t="shared" si="527"/>
        <v>29261</v>
      </c>
      <c r="M193" s="127">
        <f t="shared" si="527"/>
        <v>26618</v>
      </c>
      <c r="N193" s="127">
        <f t="shared" si="527"/>
        <v>36090</v>
      </c>
      <c r="O193" s="127">
        <f t="shared" ref="O193:T193" si="528">O194+O195</f>
        <v>84553</v>
      </c>
      <c r="P193" s="127">
        <f t="shared" si="528"/>
        <v>174</v>
      </c>
      <c r="Q193" s="127">
        <f t="shared" si="528"/>
        <v>2294</v>
      </c>
      <c r="R193" s="127">
        <f t="shared" si="528"/>
        <v>5793</v>
      </c>
      <c r="S193" s="127">
        <f t="shared" si="528"/>
        <v>5293</v>
      </c>
      <c r="T193" s="127">
        <f t="shared" si="528"/>
        <v>290</v>
      </c>
      <c r="U193" s="127">
        <f t="shared" ref="U193:V193" si="529">U194+U195</f>
        <v>1484</v>
      </c>
      <c r="V193" s="127">
        <f t="shared" si="529"/>
        <v>1655</v>
      </c>
      <c r="W193" s="127">
        <f t="shared" ref="W193:X193" si="530">W194+W195</f>
        <v>1989</v>
      </c>
      <c r="X193" s="127">
        <f t="shared" si="530"/>
        <v>2221</v>
      </c>
      <c r="Y193" s="127">
        <f t="shared" ref="Y193:AA193" si="531">Y194+Y195</f>
        <v>3765</v>
      </c>
      <c r="Z193" s="127">
        <f t="shared" si="531"/>
        <v>6690</v>
      </c>
      <c r="AA193" s="127">
        <f t="shared" si="531"/>
        <v>12251</v>
      </c>
      <c r="AB193" s="127">
        <f t="shared" ref="AB193" si="532">AB194+AB195</f>
        <v>897</v>
      </c>
    </row>
    <row r="194" spans="2:28" ht="13" customHeight="1">
      <c r="B194" s="128" t="s">
        <v>205</v>
      </c>
      <c r="C194" s="128" t="s">
        <v>361</v>
      </c>
      <c r="D194" s="129">
        <f t="shared" ref="D194:S194" si="533">D124+D159</f>
        <v>11185</v>
      </c>
      <c r="E194" s="129">
        <f t="shared" si="533"/>
        <v>32112</v>
      </c>
      <c r="F194" s="129">
        <f t="shared" si="533"/>
        <v>39432</v>
      </c>
      <c r="G194" s="129">
        <f t="shared" si="533"/>
        <v>76473</v>
      </c>
      <c r="H194" s="129">
        <f t="shared" si="533"/>
        <v>10423</v>
      </c>
      <c r="I194" s="129">
        <f t="shared" si="533"/>
        <v>14700</v>
      </c>
      <c r="J194" s="129">
        <f t="shared" si="533"/>
        <v>21700</v>
      </c>
      <c r="K194" s="129">
        <f t="shared" si="533"/>
        <v>38807</v>
      </c>
      <c r="L194" s="129">
        <f t="shared" si="533"/>
        <v>5547</v>
      </c>
      <c r="M194" s="129">
        <f t="shared" si="533"/>
        <v>2807</v>
      </c>
      <c r="N194" s="129">
        <f t="shared" si="533"/>
        <v>12216</v>
      </c>
      <c r="O194" s="129">
        <f t="shared" si="533"/>
        <v>60607</v>
      </c>
      <c r="P194" s="129">
        <f t="shared" si="533"/>
        <v>61</v>
      </c>
      <c r="Q194" s="129">
        <f t="shared" si="533"/>
        <v>318</v>
      </c>
      <c r="R194" s="129">
        <f t="shared" si="533"/>
        <v>3789</v>
      </c>
      <c r="S194" s="129">
        <f t="shared" si="533"/>
        <v>3246</v>
      </c>
      <c r="T194" s="129">
        <f t="shared" ref="T194:U194" si="534">T124+T159</f>
        <v>218</v>
      </c>
      <c r="U194" s="129">
        <f t="shared" si="534"/>
        <v>1212</v>
      </c>
      <c r="V194" s="129">
        <f t="shared" ref="V194:W194" si="535">V124+V159</f>
        <v>1218</v>
      </c>
      <c r="W194" s="129">
        <f t="shared" si="535"/>
        <v>1218</v>
      </c>
      <c r="X194" s="129">
        <f t="shared" ref="X194:Y194" si="536">X124+X159</f>
        <v>2068</v>
      </c>
      <c r="Y194" s="129">
        <f t="shared" si="536"/>
        <v>3507</v>
      </c>
      <c r="Z194" s="129">
        <f t="shared" ref="Z194:AA194" si="537">Z124+Z159</f>
        <v>6181</v>
      </c>
      <c r="AA194" s="129">
        <f t="shared" si="537"/>
        <v>10346</v>
      </c>
      <c r="AB194" s="129">
        <f t="shared" ref="AB194" si="538">AB124+AB159</f>
        <v>712</v>
      </c>
    </row>
    <row r="195" spans="2:28" ht="13" customHeight="1">
      <c r="B195" s="128" t="s">
        <v>206</v>
      </c>
      <c r="C195" s="128" t="s">
        <v>14</v>
      </c>
      <c r="D195" s="129">
        <f t="shared" ref="D195:S195" si="539">D125+D160</f>
        <v>360</v>
      </c>
      <c r="E195" s="129">
        <f t="shared" si="539"/>
        <v>682</v>
      </c>
      <c r="F195" s="129">
        <f t="shared" si="539"/>
        <v>1020</v>
      </c>
      <c r="G195" s="129">
        <f t="shared" si="539"/>
        <v>1356</v>
      </c>
      <c r="H195" s="129">
        <f t="shared" si="539"/>
        <v>6872</v>
      </c>
      <c r="I195" s="129">
        <f t="shared" si="539"/>
        <v>7058</v>
      </c>
      <c r="J195" s="129">
        <f t="shared" si="539"/>
        <v>7431</v>
      </c>
      <c r="K195" s="129">
        <f t="shared" si="539"/>
        <v>7429</v>
      </c>
      <c r="L195" s="129">
        <f t="shared" si="539"/>
        <v>23714</v>
      </c>
      <c r="M195" s="129">
        <f t="shared" si="539"/>
        <v>23811</v>
      </c>
      <c r="N195" s="129">
        <f t="shared" si="539"/>
        <v>23874</v>
      </c>
      <c r="O195" s="129">
        <f t="shared" si="539"/>
        <v>23946</v>
      </c>
      <c r="P195" s="129">
        <f t="shared" si="539"/>
        <v>113</v>
      </c>
      <c r="Q195" s="129">
        <f t="shared" si="539"/>
        <v>1976</v>
      </c>
      <c r="R195" s="129">
        <f t="shared" si="539"/>
        <v>2004</v>
      </c>
      <c r="S195" s="129">
        <f t="shared" si="539"/>
        <v>2047</v>
      </c>
      <c r="T195" s="129">
        <f t="shared" ref="T195:U195" si="540">T125+T160</f>
        <v>72</v>
      </c>
      <c r="U195" s="129">
        <f t="shared" si="540"/>
        <v>272</v>
      </c>
      <c r="V195" s="129">
        <f t="shared" ref="V195:W195" si="541">V125+V160</f>
        <v>437</v>
      </c>
      <c r="W195" s="129">
        <f t="shared" si="541"/>
        <v>771</v>
      </c>
      <c r="X195" s="129">
        <f t="shared" ref="X195:Y195" si="542">X125+X160</f>
        <v>153</v>
      </c>
      <c r="Y195" s="129">
        <f t="shared" si="542"/>
        <v>258</v>
      </c>
      <c r="Z195" s="129">
        <f t="shared" ref="Z195:AA195" si="543">Z125+Z160</f>
        <v>509</v>
      </c>
      <c r="AA195" s="129">
        <f t="shared" si="543"/>
        <v>1905</v>
      </c>
      <c r="AB195" s="129">
        <f t="shared" ref="AB195" si="544">AB125+AB160</f>
        <v>185</v>
      </c>
    </row>
    <row r="196" spans="2:28" ht="13" customHeight="1">
      <c r="B196" s="128" t="s">
        <v>207</v>
      </c>
      <c r="C196" s="128" t="s">
        <v>6</v>
      </c>
      <c r="D196" s="129">
        <f t="shared" ref="D196:S196" si="545">D126+D161</f>
        <v>48955</v>
      </c>
      <c r="E196" s="129">
        <f t="shared" si="545"/>
        <v>74673</v>
      </c>
      <c r="F196" s="129">
        <f t="shared" si="545"/>
        <v>94560</v>
      </c>
      <c r="G196" s="129">
        <f t="shared" si="545"/>
        <v>127045</v>
      </c>
      <c r="H196" s="129">
        <f t="shared" si="545"/>
        <v>33437</v>
      </c>
      <c r="I196" s="129">
        <f t="shared" si="545"/>
        <v>64220</v>
      </c>
      <c r="J196" s="129">
        <f t="shared" si="545"/>
        <v>100627</v>
      </c>
      <c r="K196" s="129">
        <f t="shared" si="545"/>
        <v>143466</v>
      </c>
      <c r="L196" s="129">
        <f t="shared" si="545"/>
        <v>41615</v>
      </c>
      <c r="M196" s="129">
        <f t="shared" si="545"/>
        <v>68216</v>
      </c>
      <c r="N196" s="129">
        <f t="shared" si="545"/>
        <v>99654</v>
      </c>
      <c r="O196" s="129">
        <f t="shared" si="545"/>
        <v>137039</v>
      </c>
      <c r="P196" s="129">
        <f t="shared" si="545"/>
        <v>47087</v>
      </c>
      <c r="Q196" s="129">
        <f t="shared" si="545"/>
        <v>77253</v>
      </c>
      <c r="R196" s="129">
        <f t="shared" si="545"/>
        <v>112145</v>
      </c>
      <c r="S196" s="129">
        <f t="shared" si="545"/>
        <v>147487</v>
      </c>
      <c r="T196" s="129">
        <f t="shared" ref="T196:U196" si="546">T126+T161</f>
        <v>31536</v>
      </c>
      <c r="U196" s="129">
        <f t="shared" si="546"/>
        <v>61992</v>
      </c>
      <c r="V196" s="129">
        <f t="shared" ref="V196:W196" si="547">V126+V161</f>
        <v>86655</v>
      </c>
      <c r="W196" s="129">
        <f t="shared" si="547"/>
        <v>119712</v>
      </c>
      <c r="X196" s="129">
        <f t="shared" ref="X196:Y196" si="548">X126+X161</f>
        <v>28703</v>
      </c>
      <c r="Y196" s="129">
        <f t="shared" si="548"/>
        <v>60259</v>
      </c>
      <c r="Z196" s="129">
        <f t="shared" ref="Z196:AA196" si="549">Z126+Z161</f>
        <v>91902</v>
      </c>
      <c r="AA196" s="129">
        <f t="shared" si="549"/>
        <v>148828</v>
      </c>
      <c r="AB196" s="129">
        <f t="shared" ref="AB196" si="550">AB126+AB161</f>
        <v>34629</v>
      </c>
    </row>
    <row r="197" spans="2:28" ht="13" customHeight="1">
      <c r="B197" s="128" t="s">
        <v>362</v>
      </c>
      <c r="C197" s="128" t="s">
        <v>7</v>
      </c>
      <c r="D197" s="129">
        <f t="shared" ref="D197:S197" si="551">D127+D162</f>
        <v>-20297</v>
      </c>
      <c r="E197" s="129">
        <f t="shared" si="551"/>
        <v>-46181</v>
      </c>
      <c r="F197" s="129">
        <f t="shared" si="551"/>
        <v>-82018</v>
      </c>
      <c r="G197" s="129">
        <f t="shared" si="551"/>
        <v>-141807</v>
      </c>
      <c r="H197" s="129">
        <f t="shared" si="551"/>
        <v>-20944</v>
      </c>
      <c r="I197" s="129">
        <f t="shared" si="551"/>
        <v>-48001</v>
      </c>
      <c r="J197" s="129">
        <f t="shared" si="551"/>
        <v>-124932</v>
      </c>
      <c r="K197" s="129">
        <f t="shared" si="551"/>
        <v>-345605</v>
      </c>
      <c r="L197" s="129">
        <f t="shared" si="551"/>
        <v>-34194</v>
      </c>
      <c r="M197" s="129">
        <f t="shared" si="551"/>
        <v>-158648</v>
      </c>
      <c r="N197" s="129">
        <f t="shared" si="551"/>
        <v>-179221</v>
      </c>
      <c r="O197" s="129">
        <f t="shared" si="551"/>
        <v>-240446</v>
      </c>
      <c r="P197" s="129">
        <f t="shared" si="551"/>
        <v>-22624</v>
      </c>
      <c r="Q197" s="129">
        <f t="shared" si="551"/>
        <v>-46867</v>
      </c>
      <c r="R197" s="129">
        <f t="shared" si="551"/>
        <v>-88290</v>
      </c>
      <c r="S197" s="129">
        <f t="shared" si="551"/>
        <v>-168322</v>
      </c>
      <c r="T197" s="129">
        <f t="shared" ref="T197:U197" si="552">T127+T162</f>
        <v>-29621</v>
      </c>
      <c r="U197" s="129">
        <f t="shared" si="552"/>
        <v>-50091</v>
      </c>
      <c r="V197" s="129">
        <f t="shared" ref="V197:W197" si="553">V127+V162</f>
        <v>-77560</v>
      </c>
      <c r="W197" s="129">
        <f t="shared" si="553"/>
        <v>-129210</v>
      </c>
      <c r="X197" s="129">
        <f t="shared" ref="X197:Y197" si="554">X127+X162</f>
        <v>-26301</v>
      </c>
      <c r="Y197" s="129">
        <f t="shared" si="554"/>
        <v>-57616</v>
      </c>
      <c r="Z197" s="129">
        <f t="shared" ref="Z197:AA197" si="555">Z127+Z162</f>
        <v>-85299</v>
      </c>
      <c r="AA197" s="129">
        <f t="shared" si="555"/>
        <v>-202719</v>
      </c>
      <c r="AB197" s="129">
        <f t="shared" ref="AB197" si="556">AB127+AB162</f>
        <v>-28875</v>
      </c>
    </row>
    <row r="198" spans="2:28" ht="13" customHeight="1">
      <c r="B198" s="126" t="s">
        <v>363</v>
      </c>
      <c r="C198" s="126" t="s">
        <v>8</v>
      </c>
      <c r="D198" s="127">
        <f t="shared" ref="D198:N198" si="557">D196+D197</f>
        <v>28658</v>
      </c>
      <c r="E198" s="127">
        <f t="shared" si="557"/>
        <v>28492</v>
      </c>
      <c r="F198" s="127">
        <f t="shared" si="557"/>
        <v>12542</v>
      </c>
      <c r="G198" s="127">
        <f t="shared" si="557"/>
        <v>-14762</v>
      </c>
      <c r="H198" s="127">
        <f t="shared" si="557"/>
        <v>12493</v>
      </c>
      <c r="I198" s="127">
        <f t="shared" si="557"/>
        <v>16219</v>
      </c>
      <c r="J198" s="127">
        <f t="shared" si="557"/>
        <v>-24305</v>
      </c>
      <c r="K198" s="127">
        <f t="shared" si="557"/>
        <v>-202139</v>
      </c>
      <c r="L198" s="127">
        <f t="shared" si="557"/>
        <v>7421</v>
      </c>
      <c r="M198" s="127">
        <f t="shared" si="557"/>
        <v>-90432</v>
      </c>
      <c r="N198" s="127">
        <f t="shared" si="557"/>
        <v>-79567</v>
      </c>
      <c r="O198" s="127">
        <f t="shared" ref="O198:T198" si="558">O196+O197</f>
        <v>-103407</v>
      </c>
      <c r="P198" s="127">
        <f t="shared" si="558"/>
        <v>24463</v>
      </c>
      <c r="Q198" s="127">
        <f t="shared" si="558"/>
        <v>30386</v>
      </c>
      <c r="R198" s="127">
        <f t="shared" si="558"/>
        <v>23855</v>
      </c>
      <c r="S198" s="127">
        <f t="shared" si="558"/>
        <v>-20835</v>
      </c>
      <c r="T198" s="127">
        <f t="shared" si="558"/>
        <v>1915</v>
      </c>
      <c r="U198" s="127">
        <f t="shared" ref="U198:V198" si="559">U196+U197</f>
        <v>11901</v>
      </c>
      <c r="V198" s="127">
        <f t="shared" si="559"/>
        <v>9095</v>
      </c>
      <c r="W198" s="127">
        <f t="shared" ref="W198:X198" si="560">W196+W197</f>
        <v>-9498</v>
      </c>
      <c r="X198" s="127">
        <f t="shared" si="560"/>
        <v>2402</v>
      </c>
      <c r="Y198" s="127">
        <f t="shared" ref="Y198:AA198" si="561">Y196+Y197</f>
        <v>2643</v>
      </c>
      <c r="Z198" s="127">
        <f t="shared" si="561"/>
        <v>6603</v>
      </c>
      <c r="AA198" s="127">
        <f t="shared" si="561"/>
        <v>-53891</v>
      </c>
      <c r="AB198" s="127">
        <f t="shared" ref="AB198" si="562">AB196+AB197</f>
        <v>5754</v>
      </c>
    </row>
    <row r="199" spans="2:28" ht="13" customHeight="1">
      <c r="B199" s="130" t="s">
        <v>518</v>
      </c>
      <c r="C199" s="126" t="s">
        <v>514</v>
      </c>
      <c r="D199" s="127">
        <f>D187+D190+D193+D198+D192</f>
        <v>964719</v>
      </c>
      <c r="E199" s="127">
        <f t="shared" ref="E199:O199" si="563">E187+E190+E193+E198+E192+E191</f>
        <v>1962807</v>
      </c>
      <c r="F199" s="127">
        <f t="shared" si="563"/>
        <v>2944534</v>
      </c>
      <c r="G199" s="127">
        <f t="shared" si="563"/>
        <v>3955549</v>
      </c>
      <c r="H199" s="127">
        <f t="shared" si="563"/>
        <v>1026145</v>
      </c>
      <c r="I199" s="127">
        <f t="shared" si="563"/>
        <v>2029964</v>
      </c>
      <c r="J199" s="127">
        <f t="shared" si="563"/>
        <v>2985015</v>
      </c>
      <c r="K199" s="127">
        <f t="shared" si="563"/>
        <v>3788853</v>
      </c>
      <c r="L199" s="127">
        <f t="shared" si="563"/>
        <v>950190</v>
      </c>
      <c r="M199" s="127">
        <f t="shared" si="563"/>
        <v>1741370</v>
      </c>
      <c r="N199" s="127">
        <f t="shared" si="563"/>
        <v>2634040</v>
      </c>
      <c r="O199" s="127">
        <f t="shared" si="563"/>
        <v>3545488</v>
      </c>
      <c r="P199" s="127">
        <f t="shared" ref="P199:U199" si="564">P187+P190+P193+P198+P192+P191</f>
        <v>891362</v>
      </c>
      <c r="Q199" s="127">
        <f t="shared" si="564"/>
        <v>1784051</v>
      </c>
      <c r="R199" s="127">
        <f t="shared" si="564"/>
        <v>2702308</v>
      </c>
      <c r="S199" s="127">
        <f t="shared" si="564"/>
        <v>3637120.98863</v>
      </c>
      <c r="T199" s="127">
        <f t="shared" si="564"/>
        <v>1093167</v>
      </c>
      <c r="U199" s="127">
        <f t="shared" si="564"/>
        <v>2292959</v>
      </c>
      <c r="V199" s="127">
        <f t="shared" ref="V199:W199" si="565">V187+V190+V193+V198+V192+V191</f>
        <v>3059495</v>
      </c>
      <c r="W199" s="127">
        <f t="shared" si="565"/>
        <v>4381579</v>
      </c>
      <c r="X199" s="127">
        <f t="shared" ref="X199:Y199" si="566">X187+X190+X193+X198+X192+X191</f>
        <v>1329607</v>
      </c>
      <c r="Y199" s="127">
        <f t="shared" si="566"/>
        <v>2714731</v>
      </c>
      <c r="Z199" s="127">
        <f t="shared" ref="Z199:AA199" si="567">Z187+Z190+Z193+Z198+Z192+Z191</f>
        <v>4164296</v>
      </c>
      <c r="AA199" s="127">
        <f t="shared" si="567"/>
        <v>5632194</v>
      </c>
      <c r="AB199" s="127">
        <f t="shared" ref="AB199" si="568">AB187+AB190+AB193+AB198+AB192+AB191</f>
        <v>1498423</v>
      </c>
    </row>
    <row r="200" spans="2:28" ht="13" customHeight="1">
      <c r="B200" s="128" t="s">
        <v>340</v>
      </c>
      <c r="C200" s="128" t="s">
        <v>638</v>
      </c>
      <c r="D200" s="129">
        <f t="shared" ref="D200:S200" si="569">D130+D165</f>
        <v>-242992</v>
      </c>
      <c r="E200" s="129">
        <f t="shared" si="569"/>
        <v>-480589</v>
      </c>
      <c r="F200" s="129">
        <f t="shared" si="569"/>
        <v>-752747</v>
      </c>
      <c r="G200" s="129">
        <f t="shared" si="569"/>
        <v>-1047818</v>
      </c>
      <c r="H200" s="129">
        <f t="shared" si="569"/>
        <v>-272962</v>
      </c>
      <c r="I200" s="129">
        <f t="shared" si="569"/>
        <v>-775502</v>
      </c>
      <c r="J200" s="129">
        <f t="shared" si="569"/>
        <v>-1100283</v>
      </c>
      <c r="K200" s="129">
        <f t="shared" si="569"/>
        <v>-1437158</v>
      </c>
      <c r="L200" s="129">
        <f t="shared" si="569"/>
        <v>-296153</v>
      </c>
      <c r="M200" s="129">
        <f t="shared" si="569"/>
        <v>-1211299</v>
      </c>
      <c r="N200" s="129">
        <f t="shared" si="569"/>
        <v>-1500642</v>
      </c>
      <c r="O200" s="129">
        <f t="shared" si="569"/>
        <v>-1733471</v>
      </c>
      <c r="P200" s="129">
        <f t="shared" si="569"/>
        <v>-243485</v>
      </c>
      <c r="Q200" s="129">
        <f t="shared" si="569"/>
        <v>-508465</v>
      </c>
      <c r="R200" s="129">
        <f t="shared" si="569"/>
        <v>-760194</v>
      </c>
      <c r="S200" s="129">
        <f t="shared" si="569"/>
        <v>-1006663</v>
      </c>
      <c r="T200" s="129">
        <f t="shared" ref="T200:U200" si="570">T130+T165</f>
        <v>-208556</v>
      </c>
      <c r="U200" s="129">
        <f t="shared" si="570"/>
        <v>-438493</v>
      </c>
      <c r="V200" s="129">
        <f t="shared" ref="V200:W200" si="571">V130+V165</f>
        <v>-701285</v>
      </c>
      <c r="W200" s="129">
        <f t="shared" si="571"/>
        <v>-949765</v>
      </c>
      <c r="X200" s="129">
        <f t="shared" ref="X200:Y200" si="572">X130+X165</f>
        <v>-247141</v>
      </c>
      <c r="Y200" s="129">
        <f t="shared" si="572"/>
        <v>-394813</v>
      </c>
      <c r="Z200" s="129">
        <f t="shared" ref="Z200:AA200" si="573">Z130+Z165</f>
        <v>-549377</v>
      </c>
      <c r="AA200" s="129">
        <f t="shared" si="573"/>
        <v>-625292</v>
      </c>
      <c r="AB200" s="129">
        <f t="shared" ref="AB200" si="574">AB130+AB165</f>
        <v>-111243</v>
      </c>
    </row>
    <row r="201" spans="2:28" ht="13" customHeight="1">
      <c r="B201" s="128" t="s">
        <v>364</v>
      </c>
      <c r="C201" s="128" t="s">
        <v>341</v>
      </c>
      <c r="D201" s="129">
        <f t="shared" ref="D201:S201" si="575">D131+D166</f>
        <v>-1756</v>
      </c>
      <c r="E201" s="129">
        <f t="shared" si="575"/>
        <v>-2234</v>
      </c>
      <c r="F201" s="129">
        <f t="shared" si="575"/>
        <v>-3266</v>
      </c>
      <c r="G201" s="129">
        <f t="shared" si="575"/>
        <v>-6251</v>
      </c>
      <c r="H201" s="129">
        <f t="shared" si="575"/>
        <v>-1644</v>
      </c>
      <c r="I201" s="129">
        <f t="shared" si="575"/>
        <v>-1749</v>
      </c>
      <c r="J201" s="129">
        <f t="shared" si="575"/>
        <v>-1756</v>
      </c>
      <c r="K201" s="129">
        <f t="shared" si="575"/>
        <v>-5946</v>
      </c>
      <c r="L201" s="129">
        <f t="shared" si="575"/>
        <v>1307</v>
      </c>
      <c r="M201" s="129">
        <f t="shared" si="575"/>
        <v>-68590</v>
      </c>
      <c r="N201" s="129">
        <f t="shared" si="575"/>
        <v>-70392</v>
      </c>
      <c r="O201" s="129">
        <f t="shared" si="575"/>
        <v>-132822</v>
      </c>
      <c r="P201" s="129">
        <f t="shared" si="575"/>
        <v>-477</v>
      </c>
      <c r="Q201" s="129">
        <f t="shared" si="575"/>
        <v>-1876</v>
      </c>
      <c r="R201" s="129">
        <f t="shared" si="575"/>
        <v>-3206</v>
      </c>
      <c r="S201" s="129">
        <f t="shared" si="575"/>
        <v>-10482</v>
      </c>
      <c r="T201" s="129">
        <f t="shared" ref="T201:U201" si="576">T131+T166</f>
        <v>-30901</v>
      </c>
      <c r="U201" s="129">
        <f t="shared" si="576"/>
        <v>-40223</v>
      </c>
      <c r="V201" s="129">
        <f t="shared" ref="V201:W201" si="577">V131+V166</f>
        <v>-41198</v>
      </c>
      <c r="W201" s="129">
        <f t="shared" si="577"/>
        <v>-52391</v>
      </c>
      <c r="X201" s="129">
        <f t="shared" ref="X201:Y202" si="578">X131+X166</f>
        <v>-248</v>
      </c>
      <c r="Y201" s="129">
        <f t="shared" si="578"/>
        <v>-3199</v>
      </c>
      <c r="Z201" s="129">
        <f t="shared" ref="Z201:AA201" si="579">Z131+Z166</f>
        <v>-3608</v>
      </c>
      <c r="AA201" s="129">
        <f t="shared" si="579"/>
        <v>-4912</v>
      </c>
      <c r="AB201" s="129">
        <f t="shared" ref="AB201" si="580">AB131+AB166</f>
        <v>-102</v>
      </c>
    </row>
    <row r="202" spans="2:28" ht="13" customHeight="1">
      <c r="B202" s="128" t="s">
        <v>464</v>
      </c>
      <c r="C202" s="128" t="s">
        <v>463</v>
      </c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>
        <f>O132</f>
        <v>-311</v>
      </c>
      <c r="P202" s="129"/>
      <c r="Q202" s="129"/>
      <c r="R202" s="129"/>
      <c r="S202" s="129">
        <f>S132</f>
        <v>-21386</v>
      </c>
      <c r="T202" s="129">
        <f>T132</f>
        <v>-23197</v>
      </c>
      <c r="U202" s="129">
        <v>-24438</v>
      </c>
      <c r="V202" s="129">
        <v>-39562</v>
      </c>
      <c r="W202" s="129">
        <v>-83168</v>
      </c>
      <c r="X202" s="129">
        <f t="shared" si="578"/>
        <v>-506</v>
      </c>
      <c r="Y202" s="129">
        <f t="shared" si="578"/>
        <v>-2786</v>
      </c>
      <c r="Z202" s="129">
        <f t="shared" ref="Z202" si="581">Z132+Z167</f>
        <v>-8175</v>
      </c>
      <c r="AA202" s="129">
        <v>-53983</v>
      </c>
      <c r="AB202" s="129">
        <f>AB27</f>
        <v>-1794</v>
      </c>
    </row>
    <row r="203" spans="2:28" ht="13" customHeight="1">
      <c r="B203" s="126" t="s">
        <v>519</v>
      </c>
      <c r="C203" s="126" t="s">
        <v>515</v>
      </c>
      <c r="D203" s="127">
        <f t="shared" ref="D203:K203" si="582">D199+D200+D201</f>
        <v>719971</v>
      </c>
      <c r="E203" s="127">
        <f t="shared" si="582"/>
        <v>1479984</v>
      </c>
      <c r="F203" s="127">
        <f t="shared" si="582"/>
        <v>2188521</v>
      </c>
      <c r="G203" s="127">
        <f t="shared" si="582"/>
        <v>2901480</v>
      </c>
      <c r="H203" s="127">
        <f t="shared" si="582"/>
        <v>751539</v>
      </c>
      <c r="I203" s="127">
        <f t="shared" si="582"/>
        <v>1252713</v>
      </c>
      <c r="J203" s="127">
        <f t="shared" si="582"/>
        <v>1882976</v>
      </c>
      <c r="K203" s="127">
        <f t="shared" si="582"/>
        <v>2345749</v>
      </c>
      <c r="L203" s="127">
        <f t="shared" ref="L203:R203" si="583">L199+L200+L201+L202</f>
        <v>655344</v>
      </c>
      <c r="M203" s="127">
        <f t="shared" si="583"/>
        <v>461481</v>
      </c>
      <c r="N203" s="127">
        <f t="shared" si="583"/>
        <v>1063006</v>
      </c>
      <c r="O203" s="127">
        <f t="shared" si="583"/>
        <v>1678884</v>
      </c>
      <c r="P203" s="127">
        <f t="shared" si="583"/>
        <v>647400</v>
      </c>
      <c r="Q203" s="127">
        <f t="shared" si="583"/>
        <v>1273710</v>
      </c>
      <c r="R203" s="127">
        <f t="shared" si="583"/>
        <v>1938908</v>
      </c>
      <c r="S203" s="127">
        <f>S199+S200+S201+S202</f>
        <v>2598589.98863</v>
      </c>
      <c r="T203" s="127">
        <f t="shared" ref="T203:U203" si="584">T199+T200+T201+T202</f>
        <v>830513</v>
      </c>
      <c r="U203" s="127">
        <f t="shared" si="584"/>
        <v>1789805</v>
      </c>
      <c r="V203" s="127">
        <f t="shared" ref="V203:W203" si="585">V199+V200+V201+V202</f>
        <v>2277450</v>
      </c>
      <c r="W203" s="127">
        <f t="shared" si="585"/>
        <v>3296255</v>
      </c>
      <c r="X203" s="127">
        <f t="shared" ref="X203:Y203" si="586">X199+X200+X201+X202</f>
        <v>1081712</v>
      </c>
      <c r="Y203" s="127">
        <f t="shared" si="586"/>
        <v>2313933</v>
      </c>
      <c r="Z203" s="127">
        <f t="shared" ref="Z203:AA203" si="587">Z199+Z200+Z201+Z202</f>
        <v>3603136</v>
      </c>
      <c r="AA203" s="127">
        <f t="shared" si="587"/>
        <v>4948007</v>
      </c>
      <c r="AB203" s="127">
        <f t="shared" ref="AB203" si="588">AB199+AB200+AB201+AB202</f>
        <v>1385284</v>
      </c>
    </row>
    <row r="204" spans="2:28" ht="13" customHeight="1">
      <c r="B204" s="128" t="s">
        <v>210</v>
      </c>
      <c r="C204" s="128" t="s">
        <v>319</v>
      </c>
      <c r="D204" s="129">
        <f t="shared" ref="D204:O204" si="589">D134+D169</f>
        <v>-505983</v>
      </c>
      <c r="E204" s="129">
        <f t="shared" si="589"/>
        <v>-989154</v>
      </c>
      <c r="F204" s="129">
        <f t="shared" si="589"/>
        <v>-1452733</v>
      </c>
      <c r="G204" s="129">
        <f t="shared" si="589"/>
        <v>-1913189</v>
      </c>
      <c r="H204" s="129">
        <f t="shared" si="589"/>
        <v>-566629</v>
      </c>
      <c r="I204" s="129">
        <f t="shared" si="589"/>
        <v>-1016156</v>
      </c>
      <c r="J204" s="129">
        <f t="shared" si="589"/>
        <v>-1447148</v>
      </c>
      <c r="K204" s="129">
        <f t="shared" si="589"/>
        <v>-1856078</v>
      </c>
      <c r="L204" s="129">
        <f t="shared" si="589"/>
        <v>-535709</v>
      </c>
      <c r="M204" s="129">
        <f t="shared" si="589"/>
        <v>-986460</v>
      </c>
      <c r="N204" s="129">
        <f t="shared" si="589"/>
        <v>-1449589</v>
      </c>
      <c r="O204" s="129">
        <f t="shared" si="589"/>
        <v>-1885334</v>
      </c>
      <c r="P204" s="129">
        <f t="shared" ref="P204:U204" si="590">P134+P169</f>
        <v>-476556</v>
      </c>
      <c r="Q204" s="129">
        <f t="shared" si="590"/>
        <v>-913540</v>
      </c>
      <c r="R204" s="129">
        <f t="shared" si="590"/>
        <v>-1365443</v>
      </c>
      <c r="S204" s="129">
        <f t="shared" si="590"/>
        <v>-1819379</v>
      </c>
      <c r="T204" s="129">
        <f t="shared" si="590"/>
        <v>-557129</v>
      </c>
      <c r="U204" s="129">
        <f t="shared" si="590"/>
        <v>-1214540</v>
      </c>
      <c r="V204" s="129">
        <f t="shared" ref="V204:W204" si="591">V134+V169</f>
        <v>-1737886</v>
      </c>
      <c r="W204" s="129">
        <f t="shared" si="591"/>
        <v>-2260231</v>
      </c>
      <c r="X204" s="129">
        <f t="shared" ref="X204:Y204" si="592">X134+X169</f>
        <v>-572837</v>
      </c>
      <c r="Y204" s="129">
        <f t="shared" si="592"/>
        <v>-1127563</v>
      </c>
      <c r="Z204" s="129">
        <f t="shared" ref="Z204:AA204" si="593">Z134+Z169</f>
        <v>-1676424</v>
      </c>
      <c r="AA204" s="129">
        <f t="shared" si="593"/>
        <v>-2240952</v>
      </c>
      <c r="AB204" s="129">
        <f t="shared" ref="AB204" si="594">AB134+AB169</f>
        <v>-616526</v>
      </c>
    </row>
    <row r="205" spans="2:28" ht="13" customHeight="1">
      <c r="B205" s="126" t="s">
        <v>212</v>
      </c>
      <c r="C205" s="126" t="s">
        <v>516</v>
      </c>
      <c r="D205" s="127">
        <f t="shared" ref="D205:N205" si="595">D203+D204</f>
        <v>213988</v>
      </c>
      <c r="E205" s="127">
        <f t="shared" si="595"/>
        <v>490830</v>
      </c>
      <c r="F205" s="127">
        <f t="shared" si="595"/>
        <v>735788</v>
      </c>
      <c r="G205" s="127">
        <f t="shared" si="595"/>
        <v>988291</v>
      </c>
      <c r="H205" s="127">
        <f t="shared" si="595"/>
        <v>184910</v>
      </c>
      <c r="I205" s="127">
        <f t="shared" si="595"/>
        <v>236557</v>
      </c>
      <c r="J205" s="127">
        <f t="shared" si="595"/>
        <v>435828</v>
      </c>
      <c r="K205" s="127">
        <f t="shared" si="595"/>
        <v>489671</v>
      </c>
      <c r="L205" s="127">
        <f t="shared" si="595"/>
        <v>119635</v>
      </c>
      <c r="M205" s="127">
        <f t="shared" si="595"/>
        <v>-524979</v>
      </c>
      <c r="N205" s="127">
        <f t="shared" si="595"/>
        <v>-386583</v>
      </c>
      <c r="O205" s="127">
        <f t="shared" ref="O205:T205" si="596">O203+O204</f>
        <v>-206450</v>
      </c>
      <c r="P205" s="127">
        <f t="shared" si="596"/>
        <v>170844</v>
      </c>
      <c r="Q205" s="127">
        <f t="shared" si="596"/>
        <v>360170</v>
      </c>
      <c r="R205" s="127">
        <f t="shared" si="596"/>
        <v>573465</v>
      </c>
      <c r="S205" s="127">
        <f t="shared" si="596"/>
        <v>779210.98863000004</v>
      </c>
      <c r="T205" s="127">
        <f t="shared" si="596"/>
        <v>273384</v>
      </c>
      <c r="U205" s="127">
        <f t="shared" ref="U205:V205" si="597">U203+U204</f>
        <v>575265</v>
      </c>
      <c r="V205" s="127">
        <f t="shared" si="597"/>
        <v>539564</v>
      </c>
      <c r="W205" s="127">
        <f t="shared" ref="W205:X205" si="598">W203+W204</f>
        <v>1036024</v>
      </c>
      <c r="X205" s="127">
        <f t="shared" si="598"/>
        <v>508875</v>
      </c>
      <c r="Y205" s="127">
        <f t="shared" ref="Y205:AA205" si="599">Y203+Y204</f>
        <v>1186370</v>
      </c>
      <c r="Z205" s="127">
        <f t="shared" si="599"/>
        <v>1926712</v>
      </c>
      <c r="AA205" s="127">
        <f t="shared" si="599"/>
        <v>2707055</v>
      </c>
      <c r="AB205" s="127">
        <f t="shared" ref="AB205" si="600">AB203+AB204</f>
        <v>768758</v>
      </c>
    </row>
    <row r="206" spans="2:28" ht="13" customHeight="1">
      <c r="B206" s="128" t="s">
        <v>213</v>
      </c>
      <c r="C206" s="128" t="s">
        <v>9</v>
      </c>
      <c r="D206" s="129">
        <f t="shared" ref="D206:O206" si="601">D136+D171</f>
        <v>-56653</v>
      </c>
      <c r="E206" s="129">
        <f t="shared" si="601"/>
        <v>-136537</v>
      </c>
      <c r="F206" s="129">
        <f t="shared" si="601"/>
        <v>-204678</v>
      </c>
      <c r="G206" s="129">
        <f t="shared" si="601"/>
        <v>-274918</v>
      </c>
      <c r="H206" s="129">
        <f t="shared" si="601"/>
        <v>-81421</v>
      </c>
      <c r="I206" s="129">
        <f t="shared" si="601"/>
        <v>-143377</v>
      </c>
      <c r="J206" s="129">
        <f t="shared" si="601"/>
        <v>-200049</v>
      </c>
      <c r="K206" s="129">
        <f t="shared" si="601"/>
        <v>-241391</v>
      </c>
      <c r="L206" s="129">
        <f t="shared" si="601"/>
        <v>-47504</v>
      </c>
      <c r="M206" s="129">
        <f t="shared" si="601"/>
        <v>14664</v>
      </c>
      <c r="N206" s="129">
        <f t="shared" si="601"/>
        <v>-33071</v>
      </c>
      <c r="O206" s="129">
        <f t="shared" si="601"/>
        <v>-104783</v>
      </c>
      <c r="P206" s="129">
        <f t="shared" ref="P206:U206" si="602">P136+P171</f>
        <v>-62750</v>
      </c>
      <c r="Q206" s="129">
        <f t="shared" si="602"/>
        <v>-128265</v>
      </c>
      <c r="R206" s="129">
        <f t="shared" si="602"/>
        <v>-191178</v>
      </c>
      <c r="S206" s="129">
        <f t="shared" si="602"/>
        <v>-297286</v>
      </c>
      <c r="T206" s="129">
        <f t="shared" si="602"/>
        <v>-104214</v>
      </c>
      <c r="U206" s="129">
        <f t="shared" si="602"/>
        <v>-189881</v>
      </c>
      <c r="V206" s="129">
        <f t="shared" ref="V206:W206" si="603">V136+V171</f>
        <v>-216741</v>
      </c>
      <c r="W206" s="129">
        <f t="shared" si="603"/>
        <v>-352913</v>
      </c>
      <c r="X206" s="129">
        <f t="shared" ref="X206:Y206" si="604">X136+X171</f>
        <v>-143091</v>
      </c>
      <c r="Y206" s="129">
        <f t="shared" si="604"/>
        <v>-314519</v>
      </c>
      <c r="Z206" s="129">
        <f t="shared" ref="Z206:AA206" si="605">Z136+Z171</f>
        <v>-483300</v>
      </c>
      <c r="AA206" s="129">
        <f t="shared" si="605"/>
        <v>-676930</v>
      </c>
      <c r="AB206" s="129">
        <f t="shared" ref="AB206" si="606">AB136+AB171</f>
        <v>-190633</v>
      </c>
    </row>
    <row r="207" spans="2:28" ht="13" customHeight="1">
      <c r="B207" s="126" t="s">
        <v>520</v>
      </c>
      <c r="C207" s="126" t="s">
        <v>517</v>
      </c>
      <c r="D207" s="127">
        <f t="shared" ref="D207:N207" si="607">D205+D206</f>
        <v>157335</v>
      </c>
      <c r="E207" s="127">
        <f t="shared" si="607"/>
        <v>354293</v>
      </c>
      <c r="F207" s="127">
        <f t="shared" si="607"/>
        <v>531110</v>
      </c>
      <c r="G207" s="127">
        <f t="shared" si="607"/>
        <v>713373</v>
      </c>
      <c r="H207" s="127">
        <f t="shared" si="607"/>
        <v>103489</v>
      </c>
      <c r="I207" s="127">
        <f t="shared" si="607"/>
        <v>93180</v>
      </c>
      <c r="J207" s="127">
        <f t="shared" si="607"/>
        <v>235779</v>
      </c>
      <c r="K207" s="127">
        <f t="shared" si="607"/>
        <v>248280</v>
      </c>
      <c r="L207" s="127">
        <f t="shared" si="607"/>
        <v>72131</v>
      </c>
      <c r="M207" s="127">
        <f t="shared" si="607"/>
        <v>-510315</v>
      </c>
      <c r="N207" s="127">
        <f t="shared" si="607"/>
        <v>-419654</v>
      </c>
      <c r="O207" s="127">
        <f t="shared" ref="O207:T207" si="608">O205+O206</f>
        <v>-311233</v>
      </c>
      <c r="P207" s="127">
        <f t="shared" si="608"/>
        <v>108094</v>
      </c>
      <c r="Q207" s="127">
        <f t="shared" si="608"/>
        <v>231905</v>
      </c>
      <c r="R207" s="127">
        <f t="shared" si="608"/>
        <v>382287</v>
      </c>
      <c r="S207" s="127">
        <f t="shared" si="608"/>
        <v>481924.98863000004</v>
      </c>
      <c r="T207" s="127">
        <f t="shared" si="608"/>
        <v>169170</v>
      </c>
      <c r="U207" s="127">
        <f t="shared" ref="U207:V207" si="609">U205+U206</f>
        <v>385384</v>
      </c>
      <c r="V207" s="127">
        <f t="shared" si="609"/>
        <v>322823</v>
      </c>
      <c r="W207" s="127">
        <f t="shared" ref="W207:X207" si="610">W205+W206</f>
        <v>683111</v>
      </c>
      <c r="X207" s="127">
        <f t="shared" si="610"/>
        <v>365784</v>
      </c>
      <c r="Y207" s="127">
        <f t="shared" ref="Y207:AA207" si="611">Y205+Y206</f>
        <v>871851</v>
      </c>
      <c r="Z207" s="127">
        <f t="shared" si="611"/>
        <v>1443412</v>
      </c>
      <c r="AA207" s="127">
        <f t="shared" si="611"/>
        <v>2030125</v>
      </c>
      <c r="AB207" s="127">
        <f t="shared" ref="AB207" si="612">AB205+AB206</f>
        <v>578125</v>
      </c>
    </row>
    <row r="208" spans="2:28" ht="13" customHeight="1">
      <c r="B208" s="128" t="s">
        <v>490</v>
      </c>
      <c r="C208" s="128" t="s">
        <v>325</v>
      </c>
      <c r="D208" s="128">
        <v>0</v>
      </c>
      <c r="E208" s="128">
        <v>0</v>
      </c>
      <c r="F208" s="128">
        <v>0</v>
      </c>
      <c r="G208" s="128">
        <v>0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9">
        <v>-3052</v>
      </c>
      <c r="N208" s="129">
        <v>-11927</v>
      </c>
      <c r="O208" s="128">
        <v>0</v>
      </c>
      <c r="P208" s="128">
        <v>0</v>
      </c>
      <c r="Q208" s="129">
        <v>0</v>
      </c>
      <c r="R208" s="129">
        <v>0</v>
      </c>
      <c r="S208" s="129">
        <v>0</v>
      </c>
      <c r="T208" s="128">
        <v>0</v>
      </c>
      <c r="U208" s="129">
        <v>0</v>
      </c>
      <c r="V208" s="129">
        <v>0</v>
      </c>
      <c r="W208" s="129">
        <v>0</v>
      </c>
      <c r="X208" s="129">
        <v>0</v>
      </c>
      <c r="Y208" s="129">
        <v>0</v>
      </c>
      <c r="Z208" s="129">
        <v>0</v>
      </c>
      <c r="AA208" s="129">
        <v>0</v>
      </c>
      <c r="AB208" s="129">
        <v>0</v>
      </c>
    </row>
    <row r="209" spans="2:28" ht="13" customHeight="1">
      <c r="B209" s="126" t="s">
        <v>489</v>
      </c>
      <c r="C209" s="126" t="s">
        <v>365</v>
      </c>
      <c r="D209" s="127">
        <f t="shared" ref="D209:R209" si="613">D207+D208</f>
        <v>157335</v>
      </c>
      <c r="E209" s="127">
        <f t="shared" si="613"/>
        <v>354293</v>
      </c>
      <c r="F209" s="127">
        <f t="shared" si="613"/>
        <v>531110</v>
      </c>
      <c r="G209" s="127">
        <f t="shared" si="613"/>
        <v>713373</v>
      </c>
      <c r="H209" s="127">
        <f t="shared" si="613"/>
        <v>103489</v>
      </c>
      <c r="I209" s="127">
        <f t="shared" si="613"/>
        <v>93180</v>
      </c>
      <c r="J209" s="127">
        <f t="shared" si="613"/>
        <v>235779</v>
      </c>
      <c r="K209" s="127">
        <f t="shared" si="613"/>
        <v>248280</v>
      </c>
      <c r="L209" s="127">
        <f t="shared" si="613"/>
        <v>72131</v>
      </c>
      <c r="M209" s="127">
        <f t="shared" si="613"/>
        <v>-513367</v>
      </c>
      <c r="N209" s="127">
        <f t="shared" si="613"/>
        <v>-431581</v>
      </c>
      <c r="O209" s="127">
        <f t="shared" si="613"/>
        <v>-311233</v>
      </c>
      <c r="P209" s="127">
        <f t="shared" si="613"/>
        <v>108094</v>
      </c>
      <c r="Q209" s="127">
        <f t="shared" si="613"/>
        <v>231905</v>
      </c>
      <c r="R209" s="127">
        <f t="shared" si="613"/>
        <v>382287</v>
      </c>
      <c r="S209" s="127">
        <f>S207+S208</f>
        <v>481924.98863000004</v>
      </c>
      <c r="T209" s="127">
        <f t="shared" ref="T209:U209" si="614">T207+T208</f>
        <v>169170</v>
      </c>
      <c r="U209" s="127">
        <f t="shared" si="614"/>
        <v>385384</v>
      </c>
      <c r="V209" s="127">
        <f t="shared" ref="V209:W209" si="615">V207+V208</f>
        <v>322823</v>
      </c>
      <c r="W209" s="127">
        <f t="shared" si="615"/>
        <v>683111</v>
      </c>
      <c r="X209" s="127">
        <f t="shared" ref="X209:Y209" si="616">X207+X208</f>
        <v>365784</v>
      </c>
      <c r="Y209" s="127">
        <f t="shared" si="616"/>
        <v>871851</v>
      </c>
      <c r="Z209" s="127">
        <f t="shared" ref="Z209:AA209" si="617">Z207+Z208</f>
        <v>1443412</v>
      </c>
      <c r="AA209" s="127">
        <f t="shared" si="617"/>
        <v>2030125</v>
      </c>
      <c r="AB209" s="127">
        <f t="shared" ref="AB209" si="618">AB207+AB208</f>
        <v>578125</v>
      </c>
    </row>
    <row r="210" spans="2:28" ht="13" customHeight="1">
      <c r="B210" s="128" t="s">
        <v>366</v>
      </c>
      <c r="C210" s="128" t="s">
        <v>130</v>
      </c>
      <c r="D210" s="129">
        <v>-43235</v>
      </c>
      <c r="E210" s="129">
        <v>-86045</v>
      </c>
      <c r="F210" s="129">
        <v>-130845</v>
      </c>
      <c r="G210" s="129">
        <v>-174527</v>
      </c>
      <c r="H210" s="129">
        <v>-59139</v>
      </c>
      <c r="I210" s="129">
        <v>-120723</v>
      </c>
      <c r="J210" s="129">
        <v>-181986</v>
      </c>
      <c r="K210" s="129">
        <v>-247593</v>
      </c>
      <c r="L210" s="129">
        <v>-60867</v>
      </c>
      <c r="M210" s="129">
        <v>-119822</v>
      </c>
      <c r="N210" s="129">
        <v>-228994</v>
      </c>
      <c r="O210" s="129">
        <v>-287658</v>
      </c>
      <c r="P210" s="129">
        <v>-55717</v>
      </c>
      <c r="Q210" s="129">
        <v>-112844</v>
      </c>
      <c r="R210" s="129">
        <v>-173836</v>
      </c>
      <c r="S210" s="129">
        <v>-232983</v>
      </c>
      <c r="T210" s="129">
        <v>-57419</v>
      </c>
      <c r="U210" s="129">
        <v>-116312</v>
      </c>
      <c r="V210" s="129">
        <v>-176218</v>
      </c>
      <c r="W210" s="129">
        <v>-242015</v>
      </c>
      <c r="X210" s="129">
        <v>-64681</v>
      </c>
      <c r="Y210" s="129">
        <v>0</v>
      </c>
      <c r="Z210" s="129">
        <v>0</v>
      </c>
      <c r="AA210" s="129">
        <v>0</v>
      </c>
      <c r="AB210" s="129">
        <v>0</v>
      </c>
    </row>
    <row r="211" spans="2:28" ht="13" customHeight="1">
      <c r="B211" s="128" t="s">
        <v>367</v>
      </c>
      <c r="C211" s="128" t="s">
        <v>35</v>
      </c>
      <c r="D211" s="129">
        <f t="shared" ref="D211:P211" si="619">D141+D176</f>
        <v>70355779</v>
      </c>
      <c r="E211" s="129">
        <f t="shared" si="619"/>
        <v>70337259</v>
      </c>
      <c r="F211" s="129">
        <f t="shared" si="619"/>
        <v>71167223</v>
      </c>
      <c r="G211" s="129">
        <f t="shared" si="619"/>
        <v>73419887</v>
      </c>
      <c r="H211" s="129">
        <f t="shared" si="619"/>
        <v>74638883</v>
      </c>
      <c r="I211" s="129">
        <f t="shared" si="619"/>
        <v>77039192</v>
      </c>
      <c r="J211" s="129">
        <f t="shared" si="619"/>
        <v>76963230</v>
      </c>
      <c r="K211" s="129">
        <f t="shared" si="619"/>
        <v>76714137</v>
      </c>
      <c r="L211" s="129">
        <f t="shared" si="619"/>
        <v>76489432</v>
      </c>
      <c r="M211" s="129">
        <f t="shared" si="619"/>
        <v>77671909</v>
      </c>
      <c r="N211" s="129">
        <f t="shared" si="619"/>
        <v>77717339</v>
      </c>
      <c r="O211" s="129">
        <f t="shared" si="619"/>
        <v>78642032</v>
      </c>
      <c r="P211" s="129">
        <f t="shared" si="619"/>
        <v>79880618</v>
      </c>
      <c r="Q211" s="129">
        <v>79035095</v>
      </c>
      <c r="R211" s="129">
        <v>78201942</v>
      </c>
      <c r="S211" s="129">
        <v>83048372</v>
      </c>
      <c r="T211" s="129">
        <f t="shared" ref="T211" si="620">T141+T176</f>
        <v>84649724</v>
      </c>
      <c r="U211" s="129">
        <v>84223458</v>
      </c>
      <c r="V211" s="129">
        <v>84070674</v>
      </c>
      <c r="W211" s="129">
        <v>82877172</v>
      </c>
      <c r="X211" s="129">
        <f t="shared" ref="X211:Y212" si="621">X141+X176</f>
        <v>84325176</v>
      </c>
      <c r="Y211" s="129">
        <f t="shared" si="621"/>
        <v>83527488</v>
      </c>
      <c r="Z211" s="129">
        <f t="shared" ref="Z211" si="622">Z141+Z176</f>
        <v>86320546</v>
      </c>
      <c r="AA211" s="129">
        <v>90134134</v>
      </c>
      <c r="AB211" s="129">
        <v>91379464</v>
      </c>
    </row>
    <row r="212" spans="2:28" ht="13" customHeight="1">
      <c r="B212" s="128" t="s">
        <v>368</v>
      </c>
      <c r="C212" s="128" t="s">
        <v>369</v>
      </c>
      <c r="D212" s="129">
        <f t="shared" ref="D212:P212" si="623">D142+D177</f>
        <v>64459283</v>
      </c>
      <c r="E212" s="129">
        <f t="shared" si="623"/>
        <v>64204158</v>
      </c>
      <c r="F212" s="129">
        <f t="shared" si="623"/>
        <v>64872511</v>
      </c>
      <c r="G212" s="129">
        <f t="shared" si="623"/>
        <v>66933964</v>
      </c>
      <c r="H212" s="129">
        <f t="shared" si="623"/>
        <v>68098123</v>
      </c>
      <c r="I212" s="129">
        <f t="shared" si="623"/>
        <v>70466955</v>
      </c>
      <c r="J212" s="129">
        <f t="shared" si="623"/>
        <v>70238006</v>
      </c>
      <c r="K212" s="129">
        <f t="shared" si="623"/>
        <v>69976769</v>
      </c>
      <c r="L212" s="129">
        <f t="shared" si="623"/>
        <v>69689921</v>
      </c>
      <c r="M212" s="129">
        <f t="shared" si="623"/>
        <v>71304558</v>
      </c>
      <c r="N212" s="129">
        <f t="shared" si="623"/>
        <v>71251663</v>
      </c>
      <c r="O212" s="129">
        <f t="shared" si="623"/>
        <v>72082430</v>
      </c>
      <c r="P212" s="129">
        <f t="shared" si="623"/>
        <v>73334510</v>
      </c>
      <c r="Q212" s="129">
        <v>72452907</v>
      </c>
      <c r="R212" s="129">
        <v>71601280</v>
      </c>
      <c r="S212" s="129">
        <v>77129170</v>
      </c>
      <c r="T212" s="129">
        <f t="shared" ref="T212" si="624">T142+T177</f>
        <v>79070049</v>
      </c>
      <c r="U212" s="129">
        <v>78902441</v>
      </c>
      <c r="V212" s="129">
        <v>78624943</v>
      </c>
      <c r="W212" s="129">
        <v>76707307</v>
      </c>
      <c r="X212" s="129">
        <f t="shared" si="621"/>
        <v>77416675</v>
      </c>
      <c r="Y212" s="129">
        <f t="shared" si="621"/>
        <v>75842105</v>
      </c>
      <c r="Z212" s="129">
        <f t="shared" ref="Z212" si="625">Z142+Z177</f>
        <v>77736274</v>
      </c>
      <c r="AA212" s="129">
        <v>80884544</v>
      </c>
      <c r="AB212" s="129">
        <v>81561463</v>
      </c>
    </row>
    <row r="213" spans="2:28">
      <c r="R213" s="106"/>
      <c r="S213" s="106"/>
    </row>
    <row r="214" spans="2:28">
      <c r="R214" s="106"/>
      <c r="S214" s="106"/>
    </row>
    <row r="215" spans="2:28">
      <c r="R215" s="106"/>
      <c r="S215" s="106"/>
    </row>
    <row r="216" spans="2:28">
      <c r="R216" s="106"/>
      <c r="S216" s="106"/>
    </row>
    <row r="217" spans="2:28">
      <c r="R217" s="106"/>
      <c r="S217" s="10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N39"/>
  <sheetViews>
    <sheetView zoomScaleNormal="100" workbookViewId="0">
      <pane xSplit="2" ySplit="3" topLeftCell="AJ9" activePane="bottomRight" state="frozen"/>
      <selection activeCell="AI51" sqref="AI51"/>
      <selection pane="topRight" activeCell="AI51" sqref="AI51"/>
      <selection pane="bottomLeft" activeCell="AI51" sqref="AI51"/>
      <selection pane="bottomRight" activeCell="AQ26" sqref="AQ26"/>
    </sheetView>
  </sheetViews>
  <sheetFormatPr defaultColWidth="8.6640625" defaultRowHeight="11.5"/>
  <cols>
    <col min="1" max="2" width="50.6640625" style="2" customWidth="1"/>
    <col min="3" max="40" width="10.6640625" style="2" customWidth="1"/>
    <col min="41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</row>
    <row r="2" spans="1:40" ht="13" customHeight="1" thickBot="1">
      <c r="C2" s="1" t="s">
        <v>406</v>
      </c>
      <c r="D2" s="1" t="s">
        <v>407</v>
      </c>
      <c r="E2" s="1" t="s">
        <v>408</v>
      </c>
      <c r="F2" s="1" t="s">
        <v>409</v>
      </c>
      <c r="G2" s="1" t="s">
        <v>410</v>
      </c>
      <c r="H2" s="1" t="s">
        <v>411</v>
      </c>
      <c r="I2" s="1" t="s">
        <v>412</v>
      </c>
      <c r="J2" s="1" t="s">
        <v>413</v>
      </c>
      <c r="K2" s="1" t="s">
        <v>414</v>
      </c>
      <c r="L2" s="1" t="s">
        <v>415</v>
      </c>
      <c r="M2" s="1" t="s">
        <v>416</v>
      </c>
      <c r="N2" s="1" t="s">
        <v>417</v>
      </c>
      <c r="O2" s="1" t="s">
        <v>418</v>
      </c>
      <c r="P2" s="1" t="s">
        <v>419</v>
      </c>
      <c r="Q2" s="1" t="s">
        <v>420</v>
      </c>
      <c r="R2" s="1" t="s">
        <v>421</v>
      </c>
      <c r="S2" s="1" t="s">
        <v>422</v>
      </c>
      <c r="T2" s="1" t="s">
        <v>423</v>
      </c>
      <c r="U2" s="1" t="s">
        <v>424</v>
      </c>
      <c r="V2" s="1" t="s">
        <v>425</v>
      </c>
      <c r="W2" s="1" t="s">
        <v>426</v>
      </c>
      <c r="X2" s="1" t="s">
        <v>427</v>
      </c>
      <c r="Y2" s="1" t="s">
        <v>428</v>
      </c>
      <c r="Z2" s="1" t="s">
        <v>429</v>
      </c>
      <c r="AA2" s="1" t="s">
        <v>430</v>
      </c>
      <c r="AB2" s="1" t="s">
        <v>431</v>
      </c>
      <c r="AC2" s="1" t="s">
        <v>432</v>
      </c>
      <c r="AD2" s="1" t="s">
        <v>462</v>
      </c>
      <c r="AE2" s="1" t="s">
        <v>491</v>
      </c>
      <c r="AF2" s="1" t="s">
        <v>493</v>
      </c>
      <c r="AG2" s="1" t="s">
        <v>522</v>
      </c>
      <c r="AH2" s="1" t="s">
        <v>661</v>
      </c>
      <c r="AI2" s="1" t="s">
        <v>673</v>
      </c>
      <c r="AJ2" s="1" t="s">
        <v>671</v>
      </c>
      <c r="AK2" s="1" t="s">
        <v>677</v>
      </c>
      <c r="AL2" s="1" t="s">
        <v>683</v>
      </c>
      <c r="AM2" s="1" t="s">
        <v>689</v>
      </c>
      <c r="AN2" s="1" t="s">
        <v>695</v>
      </c>
    </row>
    <row r="3" spans="1:40" ht="13" customHeight="1" thickBot="1">
      <c r="A3" s="1" t="s">
        <v>378</v>
      </c>
      <c r="B3" s="1" t="s">
        <v>379</v>
      </c>
      <c r="C3" s="1" t="s">
        <v>433</v>
      </c>
      <c r="D3" s="1" t="s">
        <v>434</v>
      </c>
      <c r="E3" s="1" t="s">
        <v>435</v>
      </c>
      <c r="F3" s="1" t="s">
        <v>436</v>
      </c>
      <c r="G3" s="1" t="s">
        <v>437</v>
      </c>
      <c r="H3" s="1" t="s">
        <v>438</v>
      </c>
      <c r="I3" s="1" t="s">
        <v>439</v>
      </c>
      <c r="J3" s="1" t="s">
        <v>440</v>
      </c>
      <c r="K3" s="1" t="s">
        <v>441</v>
      </c>
      <c r="L3" s="1" t="s">
        <v>442</v>
      </c>
      <c r="M3" s="1" t="s">
        <v>443</v>
      </c>
      <c r="N3" s="1" t="s">
        <v>444</v>
      </c>
      <c r="O3" s="1" t="s">
        <v>445</v>
      </c>
      <c r="P3" s="1" t="s">
        <v>446</v>
      </c>
      <c r="Q3" s="1" t="s">
        <v>447</v>
      </c>
      <c r="R3" s="1" t="s">
        <v>448</v>
      </c>
      <c r="S3" s="1" t="s">
        <v>449</v>
      </c>
      <c r="T3" s="1" t="s">
        <v>450</v>
      </c>
      <c r="U3" s="1" t="s">
        <v>451</v>
      </c>
      <c r="V3" s="1" t="s">
        <v>452</v>
      </c>
      <c r="W3" s="1" t="s">
        <v>453</v>
      </c>
      <c r="X3" s="1" t="s">
        <v>454</v>
      </c>
      <c r="Y3" s="1" t="s">
        <v>455</v>
      </c>
      <c r="Z3" s="1" t="s">
        <v>456</v>
      </c>
      <c r="AA3" s="1" t="s">
        <v>457</v>
      </c>
      <c r="AB3" s="1" t="s">
        <v>458</v>
      </c>
      <c r="AC3" s="1" t="s">
        <v>459</v>
      </c>
      <c r="AD3" s="1" t="s">
        <v>461</v>
      </c>
      <c r="AE3" s="1" t="s">
        <v>492</v>
      </c>
      <c r="AF3" s="1" t="s">
        <v>494</v>
      </c>
      <c r="AG3" s="1" t="s">
        <v>523</v>
      </c>
      <c r="AH3" s="1" t="s">
        <v>662</v>
      </c>
      <c r="AI3" s="1" t="s">
        <v>674</v>
      </c>
      <c r="AJ3" s="1" t="s">
        <v>672</v>
      </c>
      <c r="AK3" s="1" t="s">
        <v>678</v>
      </c>
      <c r="AL3" s="1" t="s">
        <v>684</v>
      </c>
      <c r="AM3" s="1" t="s">
        <v>690</v>
      </c>
      <c r="AN3" s="1" t="s">
        <v>696</v>
      </c>
    </row>
    <row r="4" spans="1:40" s="31" customFormat="1" ht="13" customHeight="1">
      <c r="A4" s="22" t="s">
        <v>380</v>
      </c>
      <c r="B4" s="79" t="s">
        <v>381</v>
      </c>
      <c r="C4" s="70">
        <f>C5+C16</f>
        <v>3504481</v>
      </c>
      <c r="D4" s="70">
        <f t="shared" ref="D4:AG4" si="0">D5+D16</f>
        <v>3501910</v>
      </c>
      <c r="E4" s="70">
        <f t="shared" si="0"/>
        <v>3674432</v>
      </c>
      <c r="F4" s="70">
        <f t="shared" si="0"/>
        <v>3853305</v>
      </c>
      <c r="G4" s="70">
        <f t="shared" si="0"/>
        <v>4017326</v>
      </c>
      <c r="H4" s="70">
        <f t="shared" si="0"/>
        <v>6511264</v>
      </c>
      <c r="I4" s="70">
        <f t="shared" si="0"/>
        <v>5479930</v>
      </c>
      <c r="J4" s="70">
        <f t="shared" si="0"/>
        <v>6346932</v>
      </c>
      <c r="K4" s="70">
        <f t="shared" si="0"/>
        <v>6800704</v>
      </c>
      <c r="L4" s="70">
        <f t="shared" si="0"/>
        <v>6721461</v>
      </c>
      <c r="M4" s="70">
        <f t="shared" si="0"/>
        <v>6921552</v>
      </c>
      <c r="N4" s="70">
        <f t="shared" si="0"/>
        <v>7651277</v>
      </c>
      <c r="O4" s="70">
        <f t="shared" si="0"/>
        <v>7767791</v>
      </c>
      <c r="P4" s="70">
        <f t="shared" si="0"/>
        <v>7837581</v>
      </c>
      <c r="Q4" s="70">
        <f t="shared" si="0"/>
        <v>7830864</v>
      </c>
      <c r="R4" s="70">
        <f t="shared" si="0"/>
        <v>8156980</v>
      </c>
      <c r="S4" s="70">
        <f t="shared" si="0"/>
        <v>7874488</v>
      </c>
      <c r="T4" s="70">
        <f t="shared" si="0"/>
        <v>8054913</v>
      </c>
      <c r="U4" s="70">
        <f t="shared" si="0"/>
        <v>8189620</v>
      </c>
      <c r="V4" s="70">
        <f t="shared" si="0"/>
        <v>7998975</v>
      </c>
      <c r="W4" s="70">
        <f t="shared" si="0"/>
        <v>7768695</v>
      </c>
      <c r="X4" s="70">
        <f t="shared" si="0"/>
        <v>7572228</v>
      </c>
      <c r="Y4" s="70">
        <f t="shared" si="0"/>
        <v>7550271</v>
      </c>
      <c r="Z4" s="70">
        <f t="shared" si="0"/>
        <v>7658399</v>
      </c>
      <c r="AA4" s="70">
        <f t="shared" si="0"/>
        <v>7355076</v>
      </c>
      <c r="AB4" s="70">
        <f t="shared" si="0"/>
        <v>7218260</v>
      </c>
      <c r="AC4" s="70">
        <f t="shared" si="0"/>
        <v>7297459</v>
      </c>
      <c r="AD4" s="70">
        <f t="shared" si="0"/>
        <v>6997724</v>
      </c>
      <c r="AE4" s="70">
        <f t="shared" si="0"/>
        <v>7083833.1326121939</v>
      </c>
      <c r="AF4" s="70">
        <f t="shared" si="0"/>
        <v>6926486</v>
      </c>
      <c r="AG4" s="70">
        <f t="shared" si="0"/>
        <v>6829946</v>
      </c>
      <c r="AH4" s="70">
        <f t="shared" ref="AH4:AJ4" si="1">AH5+AH16</f>
        <v>6796637</v>
      </c>
      <c r="AI4" s="70">
        <f t="shared" si="1"/>
        <v>7555807</v>
      </c>
      <c r="AJ4" s="70">
        <f t="shared" si="1"/>
        <v>7228977</v>
      </c>
      <c r="AK4" s="70">
        <f t="shared" ref="AK4:AL4" si="2">AK5+AK16</f>
        <v>7233052</v>
      </c>
      <c r="AL4" s="70">
        <f t="shared" si="2"/>
        <v>8132583.0049099997</v>
      </c>
      <c r="AM4" s="70">
        <v>8855047</v>
      </c>
      <c r="AN4" s="70">
        <v>8837093</v>
      </c>
    </row>
    <row r="5" spans="1:40" ht="13" customHeight="1">
      <c r="A5" s="85" t="s">
        <v>382</v>
      </c>
      <c r="B5" s="85" t="s">
        <v>383</v>
      </c>
      <c r="C5" s="81">
        <v>2805570</v>
      </c>
      <c r="D5" s="81">
        <v>2804134</v>
      </c>
      <c r="E5" s="81">
        <v>2978413</v>
      </c>
      <c r="F5" s="81">
        <f t="shared" ref="F5" si="3">SUM(F6:F15)</f>
        <v>2975899</v>
      </c>
      <c r="G5" s="81">
        <v>3141995</v>
      </c>
      <c r="H5" s="81">
        <v>5384672</v>
      </c>
      <c r="I5" s="81">
        <v>4572519</v>
      </c>
      <c r="J5" s="81">
        <f t="shared" ref="J5:O5" si="4">SUM(J6:J15)</f>
        <v>5253547</v>
      </c>
      <c r="K5" s="81">
        <f t="shared" si="4"/>
        <v>5735705</v>
      </c>
      <c r="L5" s="81">
        <f t="shared" si="4"/>
        <v>5686375</v>
      </c>
      <c r="M5" s="81">
        <f t="shared" si="4"/>
        <v>5919574</v>
      </c>
      <c r="N5" s="81">
        <f t="shared" si="4"/>
        <v>6088277</v>
      </c>
      <c r="O5" s="81">
        <f t="shared" si="4"/>
        <v>6091694</v>
      </c>
      <c r="P5" s="81">
        <v>6197748</v>
      </c>
      <c r="Q5" s="81">
        <f t="shared" ref="Q5:AH5" si="5">SUM(Q6:Q15)</f>
        <v>6230149</v>
      </c>
      <c r="R5" s="81">
        <f t="shared" si="5"/>
        <v>6594281</v>
      </c>
      <c r="S5" s="81">
        <f t="shared" si="5"/>
        <v>6349214</v>
      </c>
      <c r="T5" s="81">
        <f t="shared" si="5"/>
        <v>6569462</v>
      </c>
      <c r="U5" s="81">
        <f t="shared" si="5"/>
        <v>6745863</v>
      </c>
      <c r="V5" s="81">
        <f t="shared" si="5"/>
        <v>6656743</v>
      </c>
      <c r="W5" s="81">
        <f t="shared" si="5"/>
        <v>6476598</v>
      </c>
      <c r="X5" s="81">
        <f t="shared" si="5"/>
        <v>6331773</v>
      </c>
      <c r="Y5" s="81">
        <f t="shared" si="5"/>
        <v>6361540</v>
      </c>
      <c r="Z5" s="81">
        <f t="shared" si="5"/>
        <v>6545217</v>
      </c>
      <c r="AA5" s="81">
        <f t="shared" si="5"/>
        <v>6329616</v>
      </c>
      <c r="AB5" s="81">
        <f t="shared" si="5"/>
        <v>6269867</v>
      </c>
      <c r="AC5" s="81">
        <f t="shared" si="5"/>
        <v>6425584</v>
      </c>
      <c r="AD5" s="81">
        <f t="shared" si="5"/>
        <v>6199997</v>
      </c>
      <c r="AE5" s="81">
        <f t="shared" si="5"/>
        <v>6350653.1326121939</v>
      </c>
      <c r="AF5" s="81">
        <f t="shared" si="5"/>
        <v>6253982</v>
      </c>
      <c r="AG5" s="81">
        <f t="shared" si="5"/>
        <v>6197571</v>
      </c>
      <c r="AH5" s="81">
        <f t="shared" si="5"/>
        <v>6228916</v>
      </c>
      <c r="AI5" s="81">
        <f t="shared" ref="AI5:AJ5" si="6">SUM(AI6:AI15)</f>
        <v>6988086</v>
      </c>
      <c r="AJ5" s="81">
        <f t="shared" si="6"/>
        <v>6711032</v>
      </c>
      <c r="AK5" s="81">
        <f t="shared" ref="AK5:AM5" si="7">SUM(AK6:AK15)</f>
        <v>6781148</v>
      </c>
      <c r="AL5" s="81">
        <f t="shared" si="7"/>
        <v>7733033.0049099997</v>
      </c>
      <c r="AM5" s="81">
        <f t="shared" si="7"/>
        <v>8521012</v>
      </c>
      <c r="AN5" s="81">
        <f t="shared" ref="AN5" si="8">SUM(AN6:AN15)</f>
        <v>8589960</v>
      </c>
    </row>
    <row r="6" spans="1:40" ht="13" customHeight="1">
      <c r="A6" s="84" t="s">
        <v>536</v>
      </c>
      <c r="B6" s="84" t="s">
        <v>529</v>
      </c>
      <c r="C6" s="142" t="s">
        <v>670</v>
      </c>
      <c r="D6" s="142" t="s">
        <v>670</v>
      </c>
      <c r="E6" s="142" t="s">
        <v>670</v>
      </c>
      <c r="F6" s="142">
        <v>727075</v>
      </c>
      <c r="G6" s="142" t="s">
        <v>670</v>
      </c>
      <c r="H6" s="142" t="s">
        <v>670</v>
      </c>
      <c r="I6" s="142" t="s">
        <v>670</v>
      </c>
      <c r="J6" s="142">
        <v>1292578</v>
      </c>
      <c r="K6" s="142">
        <v>1292578</v>
      </c>
      <c r="L6" s="142">
        <v>1292578</v>
      </c>
      <c r="M6" s="142">
        <v>1292578</v>
      </c>
      <c r="N6" s="142">
        <v>1292636</v>
      </c>
      <c r="O6" s="142">
        <v>1292788</v>
      </c>
      <c r="P6" s="142">
        <v>1304587</v>
      </c>
      <c r="Q6" s="142">
        <v>1292578</v>
      </c>
      <c r="R6" s="142">
        <v>1305187</v>
      </c>
      <c r="S6" s="142">
        <v>1305540</v>
      </c>
      <c r="T6" s="142">
        <v>1305540</v>
      </c>
      <c r="U6" s="142">
        <v>1305540</v>
      </c>
      <c r="V6" s="142">
        <v>1305540</v>
      </c>
      <c r="W6" s="142">
        <v>1305540</v>
      </c>
      <c r="X6" s="142">
        <v>1305540</v>
      </c>
      <c r="Y6" s="142">
        <v>1305540</v>
      </c>
      <c r="Z6" s="142">
        <v>1305540</v>
      </c>
      <c r="AA6" s="142">
        <v>1305540</v>
      </c>
      <c r="AB6" s="142">
        <v>1305540</v>
      </c>
      <c r="AC6" s="142">
        <v>1305540</v>
      </c>
      <c r="AD6" s="142">
        <v>1305540</v>
      </c>
      <c r="AE6" s="142">
        <v>1305540</v>
      </c>
      <c r="AF6" s="142">
        <v>1305540</v>
      </c>
      <c r="AG6" s="142">
        <v>1305540</v>
      </c>
      <c r="AH6" s="142">
        <v>1305540</v>
      </c>
      <c r="AI6" s="142">
        <v>1305540</v>
      </c>
      <c r="AJ6" s="142">
        <v>1305540</v>
      </c>
      <c r="AK6" s="142">
        <v>1305540</v>
      </c>
      <c r="AL6" s="142">
        <v>1305540</v>
      </c>
      <c r="AM6" s="142">
        <v>1305540</v>
      </c>
      <c r="AN6" s="142">
        <v>1305540</v>
      </c>
    </row>
    <row r="7" spans="1:40" ht="13" customHeight="1">
      <c r="A7" s="84" t="s">
        <v>537</v>
      </c>
      <c r="B7" s="84" t="s">
        <v>44</v>
      </c>
      <c r="C7" s="142" t="s">
        <v>670</v>
      </c>
      <c r="D7" s="142" t="s">
        <v>670</v>
      </c>
      <c r="E7" s="142" t="s">
        <v>670</v>
      </c>
      <c r="F7" s="142">
        <v>2280668</v>
      </c>
      <c r="G7" s="142" t="s">
        <v>670</v>
      </c>
      <c r="H7" s="142" t="s">
        <v>670</v>
      </c>
      <c r="I7" s="142" t="s">
        <v>670</v>
      </c>
      <c r="J7" s="142">
        <v>4184953</v>
      </c>
      <c r="K7" s="142">
        <v>4184953</v>
      </c>
      <c r="L7" s="142">
        <v>4802171</v>
      </c>
      <c r="M7" s="142">
        <v>4817330</v>
      </c>
      <c r="N7" s="142">
        <v>4817483</v>
      </c>
      <c r="O7" s="142">
        <v>4829918</v>
      </c>
      <c r="P7" s="142">
        <v>5380995</v>
      </c>
      <c r="Q7" s="142">
        <v>5312872</v>
      </c>
      <c r="R7" s="142">
        <v>5380995</v>
      </c>
      <c r="S7" s="142">
        <v>5382819</v>
      </c>
      <c r="T7" s="142">
        <v>5388926</v>
      </c>
      <c r="U7" s="142">
        <v>5388926</v>
      </c>
      <c r="V7" s="142">
        <v>5388926</v>
      </c>
      <c r="W7" s="142">
        <v>5388926</v>
      </c>
      <c r="X7" s="142">
        <v>5395195</v>
      </c>
      <c r="Y7" s="142">
        <v>5395195</v>
      </c>
      <c r="Z7" s="142">
        <v>5395195</v>
      </c>
      <c r="AA7" s="142">
        <v>5395195</v>
      </c>
      <c r="AB7" s="142">
        <v>5399229</v>
      </c>
      <c r="AC7" s="142">
        <v>5399229</v>
      </c>
      <c r="AD7" s="142">
        <v>5399229</v>
      </c>
      <c r="AE7" s="142">
        <v>5399229</v>
      </c>
      <c r="AF7" s="142">
        <v>5401470</v>
      </c>
      <c r="AG7" s="142">
        <v>5401470</v>
      </c>
      <c r="AH7" s="142">
        <v>5401470</v>
      </c>
      <c r="AI7" s="142">
        <v>5401470</v>
      </c>
      <c r="AJ7" s="142">
        <v>5401470</v>
      </c>
      <c r="AK7" s="142">
        <v>6020705</v>
      </c>
      <c r="AL7" s="142">
        <v>6020705</v>
      </c>
      <c r="AM7" s="142">
        <v>6020705</v>
      </c>
      <c r="AN7" s="142">
        <v>6020705</v>
      </c>
    </row>
    <row r="8" spans="1:40" ht="13" customHeight="1">
      <c r="A8" s="84" t="s">
        <v>538</v>
      </c>
      <c r="B8" s="84" t="s">
        <v>530</v>
      </c>
      <c r="C8" s="142" t="s">
        <v>670</v>
      </c>
      <c r="D8" s="142" t="s">
        <v>670</v>
      </c>
      <c r="E8" s="142" t="s">
        <v>670</v>
      </c>
      <c r="F8" s="142">
        <v>187544</v>
      </c>
      <c r="G8" s="142" t="s">
        <v>670</v>
      </c>
      <c r="H8" s="142" t="s">
        <v>670</v>
      </c>
      <c r="I8" s="142" t="s">
        <v>670</v>
      </c>
      <c r="J8" s="142">
        <v>184894</v>
      </c>
      <c r="K8" s="142">
        <v>184894</v>
      </c>
      <c r="L8" s="142">
        <v>184894</v>
      </c>
      <c r="M8" s="142">
        <v>184952</v>
      </c>
      <c r="N8" s="142">
        <v>184894</v>
      </c>
      <c r="O8" s="142">
        <v>184894</v>
      </c>
      <c r="P8" s="142">
        <v>185494</v>
      </c>
      <c r="Q8" s="142">
        <v>184894</v>
      </c>
      <c r="R8" s="142">
        <v>184284</v>
      </c>
      <c r="S8" s="142">
        <v>184284</v>
      </c>
      <c r="T8" s="142">
        <v>184284</v>
      </c>
      <c r="U8" s="142">
        <v>184284</v>
      </c>
      <c r="V8" s="142">
        <v>179505</v>
      </c>
      <c r="W8" s="142">
        <v>179505</v>
      </c>
      <c r="X8" s="142">
        <v>179505</v>
      </c>
      <c r="Y8" s="142">
        <v>179505</v>
      </c>
      <c r="Z8" s="142">
        <v>174448</v>
      </c>
      <c r="AA8" s="142">
        <v>174448</v>
      </c>
      <c r="AB8" s="142">
        <v>174448</v>
      </c>
      <c r="AC8" s="142">
        <v>174448</v>
      </c>
      <c r="AD8" s="142">
        <v>174448</v>
      </c>
      <c r="AE8" s="142">
        <v>174448</v>
      </c>
      <c r="AF8" s="142">
        <v>174448</v>
      </c>
      <c r="AG8" s="142">
        <v>174448</v>
      </c>
      <c r="AH8" s="142">
        <v>174448</v>
      </c>
      <c r="AI8" s="142">
        <v>174447</v>
      </c>
      <c r="AJ8" s="142">
        <v>174447</v>
      </c>
      <c r="AK8" s="142">
        <v>174447</v>
      </c>
      <c r="AL8" s="142">
        <v>174447</v>
      </c>
      <c r="AM8" s="142">
        <v>174447</v>
      </c>
      <c r="AN8" s="142">
        <v>174447</v>
      </c>
    </row>
    <row r="9" spans="1:40" ht="13" customHeight="1">
      <c r="A9" s="84" t="s">
        <v>539</v>
      </c>
      <c r="B9" s="84" t="s">
        <v>531</v>
      </c>
      <c r="C9" s="142" t="s">
        <v>670</v>
      </c>
      <c r="D9" s="142" t="s">
        <v>670</v>
      </c>
      <c r="E9" s="142" t="s">
        <v>670</v>
      </c>
      <c r="F9" s="142">
        <v>178682</v>
      </c>
      <c r="G9" s="142" t="s">
        <v>670</v>
      </c>
      <c r="H9" s="142" t="s">
        <v>670</v>
      </c>
      <c r="I9" s="142" t="s">
        <v>670</v>
      </c>
      <c r="J9" s="142">
        <v>161466</v>
      </c>
      <c r="K9" s="142">
        <v>617218</v>
      </c>
      <c r="L9" s="142">
        <v>0</v>
      </c>
      <c r="M9" s="142">
        <v>167284</v>
      </c>
      <c r="N9" s="142">
        <v>366348</v>
      </c>
      <c r="O9" s="142">
        <v>366348</v>
      </c>
      <c r="P9" s="142">
        <v>0</v>
      </c>
      <c r="Q9" s="142">
        <v>169656</v>
      </c>
      <c r="R9" s="142">
        <v>539099</v>
      </c>
      <c r="S9" s="142">
        <v>539099</v>
      </c>
      <c r="T9" s="142">
        <v>0</v>
      </c>
      <c r="U9" s="142">
        <v>169889</v>
      </c>
      <c r="V9" s="142">
        <v>169889</v>
      </c>
      <c r="W9" s="142">
        <v>273533</v>
      </c>
      <c r="X9" s="142">
        <v>-523871</v>
      </c>
      <c r="Y9" s="142">
        <v>-433008</v>
      </c>
      <c r="Z9" s="142">
        <v>-318975</v>
      </c>
      <c r="AA9" s="142">
        <v>0</v>
      </c>
      <c r="AB9" s="142">
        <v>0</v>
      </c>
      <c r="AC9" s="142">
        <v>229523</v>
      </c>
      <c r="AD9" s="142">
        <v>229523</v>
      </c>
      <c r="AE9" s="142">
        <v>473616</v>
      </c>
      <c r="AF9" s="142">
        <v>0</v>
      </c>
      <c r="AG9" s="142">
        <v>0</v>
      </c>
      <c r="AH9" s="142">
        <v>0</v>
      </c>
      <c r="AI9" s="142">
        <v>683512</v>
      </c>
      <c r="AJ9" s="142">
        <v>683512</v>
      </c>
      <c r="AK9" s="142">
        <v>0</v>
      </c>
      <c r="AL9" s="142">
        <v>872368</v>
      </c>
      <c r="AM9" s="142">
        <v>1451099</v>
      </c>
      <c r="AN9" s="142">
        <v>1451099</v>
      </c>
    </row>
    <row r="10" spans="1:40" ht="13" customHeight="1">
      <c r="A10" s="84" t="s">
        <v>540</v>
      </c>
      <c r="B10" s="84" t="s">
        <v>48</v>
      </c>
      <c r="C10" s="142" t="s">
        <v>670</v>
      </c>
      <c r="D10" s="142" t="s">
        <v>670</v>
      </c>
      <c r="E10" s="142" t="s">
        <v>670</v>
      </c>
      <c r="F10" s="142" t="s">
        <v>670</v>
      </c>
      <c r="G10" s="142" t="s">
        <v>670</v>
      </c>
      <c r="H10" s="142" t="s">
        <v>670</v>
      </c>
      <c r="I10" s="142" t="s">
        <v>670</v>
      </c>
      <c r="J10" s="142">
        <v>0</v>
      </c>
      <c r="K10" s="142">
        <v>-53607</v>
      </c>
      <c r="L10" s="142" t="s">
        <v>670</v>
      </c>
      <c r="M10" s="142" t="s">
        <v>670</v>
      </c>
      <c r="N10" s="142">
        <v>-63514</v>
      </c>
      <c r="O10" s="142">
        <v>-96332</v>
      </c>
      <c r="P10" s="142">
        <v>0</v>
      </c>
      <c r="Q10" s="142">
        <v>-956433</v>
      </c>
      <c r="R10" s="142">
        <v>-1151445</v>
      </c>
      <c r="S10" s="142">
        <v>-1160237</v>
      </c>
      <c r="T10" s="142">
        <v>-435075</v>
      </c>
      <c r="U10" s="142">
        <v>-435075</v>
      </c>
      <c r="V10" s="142">
        <v>-435075</v>
      </c>
      <c r="W10" s="142">
        <v>-453252</v>
      </c>
      <c r="X10" s="142">
        <v>-192483</v>
      </c>
      <c r="Y10" s="142">
        <v>-192483</v>
      </c>
      <c r="Z10" s="142">
        <v>-192483</v>
      </c>
      <c r="AA10" s="142">
        <v>-510969</v>
      </c>
      <c r="AB10" s="142">
        <v>-515261</v>
      </c>
      <c r="AC10" s="142">
        <v>-530645</v>
      </c>
      <c r="AD10" s="142">
        <v>-530645</v>
      </c>
      <c r="AE10" s="142">
        <v>-496322</v>
      </c>
      <c r="AF10" s="142">
        <v>-59270</v>
      </c>
      <c r="AG10" s="142">
        <v>-59270</v>
      </c>
      <c r="AH10" s="142">
        <v>-59270</v>
      </c>
      <c r="AI10" s="142">
        <v>-59270</v>
      </c>
      <c r="AJ10" s="142">
        <v>-59282</v>
      </c>
      <c r="AK10" s="142">
        <v>5006</v>
      </c>
      <c r="AL10" s="142">
        <v>5006</v>
      </c>
      <c r="AM10" s="142">
        <v>5006</v>
      </c>
      <c r="AN10" s="142">
        <v>5006</v>
      </c>
    </row>
    <row r="11" spans="1:40" ht="13" customHeight="1">
      <c r="A11" s="84" t="s">
        <v>541</v>
      </c>
      <c r="B11" s="84" t="s">
        <v>532</v>
      </c>
      <c r="C11" s="142" t="s">
        <v>670</v>
      </c>
      <c r="D11" s="142" t="s">
        <v>670</v>
      </c>
      <c r="E11" s="142" t="s">
        <v>670</v>
      </c>
      <c r="F11" s="142">
        <v>-12901</v>
      </c>
      <c r="G11" s="142" t="s">
        <v>670</v>
      </c>
      <c r="H11" s="142" t="s">
        <v>670</v>
      </c>
      <c r="I11" s="142" t="s">
        <v>670</v>
      </c>
      <c r="J11" s="142">
        <v>-80043</v>
      </c>
      <c r="K11" s="142">
        <v>-497613</v>
      </c>
      <c r="L11" s="142">
        <v>-40823</v>
      </c>
      <c r="M11" s="142">
        <v>-18916</v>
      </c>
      <c r="N11" s="142">
        <v>-14357</v>
      </c>
      <c r="O11" s="142">
        <v>-6112</v>
      </c>
      <c r="P11" s="142">
        <v>-7801</v>
      </c>
      <c r="Q11" s="142">
        <v>-8364</v>
      </c>
      <c r="R11" s="142">
        <v>-5937</v>
      </c>
      <c r="S11" s="142">
        <v>-55714</v>
      </c>
      <c r="T11" s="142">
        <v>-6585</v>
      </c>
      <c r="U11" s="142">
        <v>-6489</v>
      </c>
      <c r="V11" s="142">
        <v>-6105</v>
      </c>
      <c r="W11" s="142">
        <v>-115994</v>
      </c>
      <c r="X11" s="142">
        <v>-25637</v>
      </c>
      <c r="Y11" s="142">
        <v>-9058</v>
      </c>
      <c r="Z11" s="142">
        <v>-12553</v>
      </c>
      <c r="AA11" s="142">
        <v>-12355</v>
      </c>
      <c r="AB11" s="142">
        <v>-33007</v>
      </c>
      <c r="AC11" s="142">
        <v>-36783</v>
      </c>
      <c r="AD11" s="142">
        <v>-99774</v>
      </c>
      <c r="AE11" s="142">
        <v>-206649</v>
      </c>
      <c r="AF11" s="142">
        <v>-306880</v>
      </c>
      <c r="AG11" s="142">
        <v>-306944</v>
      </c>
      <c r="AH11" s="142">
        <v>-291830</v>
      </c>
      <c r="AI11" s="142">
        <v>-291830</v>
      </c>
      <c r="AJ11" s="142">
        <v>-215393</v>
      </c>
      <c r="AK11" s="142">
        <v>-194306</v>
      </c>
      <c r="AL11" s="142">
        <v>-191878</v>
      </c>
      <c r="AM11" s="142">
        <v>-163231</v>
      </c>
      <c r="AN11" s="142">
        <v>-130247</v>
      </c>
    </row>
    <row r="12" spans="1:40" ht="13" customHeight="1">
      <c r="A12" s="84" t="s">
        <v>542</v>
      </c>
      <c r="B12" s="84" t="s">
        <v>533</v>
      </c>
      <c r="C12" s="142" t="s">
        <v>670</v>
      </c>
      <c r="D12" s="142" t="s">
        <v>670</v>
      </c>
      <c r="E12" s="142" t="s">
        <v>670</v>
      </c>
      <c r="F12" s="142">
        <v>-381353</v>
      </c>
      <c r="G12" s="142" t="s">
        <v>670</v>
      </c>
      <c r="H12" s="142" t="s">
        <v>670</v>
      </c>
      <c r="I12" s="142" t="s">
        <v>670</v>
      </c>
      <c r="J12" s="142">
        <v>-482024</v>
      </c>
      <c r="K12" s="142">
        <v>14690</v>
      </c>
      <c r="L12" s="142">
        <v>-512299</v>
      </c>
      <c r="M12" s="142">
        <v>-492797</v>
      </c>
      <c r="N12" s="142">
        <v>-516122</v>
      </c>
      <c r="O12" s="142">
        <v>-511316</v>
      </c>
      <c r="P12" s="142">
        <v>-518992</v>
      </c>
      <c r="Q12" s="142">
        <v>-514195</v>
      </c>
      <c r="R12" s="142">
        <v>-539273</v>
      </c>
      <c r="S12" s="142">
        <v>-535897</v>
      </c>
      <c r="T12" s="142">
        <v>-538457</v>
      </c>
      <c r="U12" s="142">
        <v>-540434</v>
      </c>
      <c r="V12" s="142">
        <v>-544348</v>
      </c>
      <c r="W12" s="142">
        <v>-542025</v>
      </c>
      <c r="X12" s="142">
        <v>-472170</v>
      </c>
      <c r="Y12" s="142">
        <v>-427448</v>
      </c>
      <c r="Z12" s="142">
        <v>-304819</v>
      </c>
      <c r="AA12" s="142">
        <v>-288047</v>
      </c>
      <c r="AB12" s="142">
        <v>-292098</v>
      </c>
      <c r="AC12" s="142">
        <v>-309278</v>
      </c>
      <c r="AD12" s="142">
        <v>-307806</v>
      </c>
      <c r="AE12" s="142">
        <v>-292358</v>
      </c>
      <c r="AF12" s="142">
        <v>-296267</v>
      </c>
      <c r="AG12" s="142">
        <v>-312428</v>
      </c>
      <c r="AH12" s="142">
        <v>-305826</v>
      </c>
      <c r="AI12" s="142">
        <v>-305826</v>
      </c>
      <c r="AJ12" s="142">
        <v>-313494</v>
      </c>
      <c r="AK12" s="142">
        <v>-305031</v>
      </c>
      <c r="AL12" s="142">
        <v>-323129</v>
      </c>
      <c r="AM12" s="142">
        <v>-345707</v>
      </c>
      <c r="AN12" s="142">
        <v>-365962</v>
      </c>
    </row>
    <row r="13" spans="1:40" ht="13" customHeight="1">
      <c r="A13" s="84" t="s">
        <v>543</v>
      </c>
      <c r="B13" s="84" t="s">
        <v>534</v>
      </c>
      <c r="C13" s="142" t="s">
        <v>670</v>
      </c>
      <c r="D13" s="142" t="s">
        <v>670</v>
      </c>
      <c r="E13" s="142" t="s">
        <v>670</v>
      </c>
      <c r="F13" s="142">
        <v>1790</v>
      </c>
      <c r="G13" s="142" t="s">
        <v>670</v>
      </c>
      <c r="H13" s="142" t="s">
        <v>670</v>
      </c>
      <c r="I13" s="142" t="s">
        <v>670</v>
      </c>
      <c r="J13" s="142">
        <v>1867</v>
      </c>
      <c r="K13" s="142" t="s">
        <v>670</v>
      </c>
      <c r="L13" s="142">
        <v>5011</v>
      </c>
      <c r="M13" s="142">
        <v>27505</v>
      </c>
      <c r="N13" s="142">
        <v>42337</v>
      </c>
      <c r="O13" s="142">
        <v>110221</v>
      </c>
      <c r="P13" s="142">
        <v>75034</v>
      </c>
      <c r="Q13" s="142">
        <v>61520</v>
      </c>
      <c r="R13" s="142">
        <v>39196</v>
      </c>
      <c r="S13" s="142">
        <v>15954</v>
      </c>
      <c r="T13" s="142">
        <v>28472</v>
      </c>
      <c r="U13" s="142">
        <v>31864</v>
      </c>
      <c r="V13" s="142">
        <v>42538</v>
      </c>
      <c r="W13" s="142">
        <v>43646</v>
      </c>
      <c r="X13" s="142">
        <v>58989</v>
      </c>
      <c r="Y13" s="142">
        <v>63650</v>
      </c>
      <c r="Z13" s="142">
        <v>72517</v>
      </c>
      <c r="AA13" s="142">
        <v>80928</v>
      </c>
      <c r="AB13" s="142">
        <v>72615</v>
      </c>
      <c r="AC13" s="142">
        <v>76213</v>
      </c>
      <c r="AD13" s="142">
        <v>97703</v>
      </c>
      <c r="AE13" s="142">
        <v>125590</v>
      </c>
      <c r="AF13" s="142">
        <v>132293</v>
      </c>
      <c r="AG13" s="142">
        <v>136759</v>
      </c>
      <c r="AH13" s="142">
        <v>148570</v>
      </c>
      <c r="AI13" s="142">
        <v>148570</v>
      </c>
      <c r="AJ13" s="142">
        <v>164561</v>
      </c>
      <c r="AK13" s="142">
        <v>161940</v>
      </c>
      <c r="AL13" s="142">
        <v>159246.00490999999</v>
      </c>
      <c r="AM13" s="142">
        <v>209227</v>
      </c>
      <c r="AN13" s="142">
        <v>228100</v>
      </c>
    </row>
    <row r="14" spans="1:40" ht="13" customHeight="1">
      <c r="A14" s="84" t="s">
        <v>544</v>
      </c>
      <c r="B14" s="84" t="s">
        <v>535</v>
      </c>
      <c r="C14" s="142" t="s">
        <v>670</v>
      </c>
      <c r="D14" s="142" t="s">
        <v>670</v>
      </c>
      <c r="E14" s="142" t="s">
        <v>670</v>
      </c>
      <c r="F14" s="142" t="s">
        <v>670</v>
      </c>
      <c r="G14" s="142" t="s">
        <v>670</v>
      </c>
      <c r="H14" s="142" t="s">
        <v>670</v>
      </c>
      <c r="I14" s="142" t="s">
        <v>670</v>
      </c>
      <c r="J14" s="142" t="s">
        <v>670</v>
      </c>
      <c r="K14" s="142" t="s">
        <v>670</v>
      </c>
      <c r="L14" s="142" t="s">
        <v>670</v>
      </c>
      <c r="M14" s="142" t="s">
        <v>670</v>
      </c>
      <c r="N14" s="142" t="s">
        <v>670</v>
      </c>
      <c r="O14" s="142" t="s">
        <v>670</v>
      </c>
      <c r="P14" s="142" t="s">
        <v>670</v>
      </c>
      <c r="Q14" s="142" t="s">
        <v>670</v>
      </c>
      <c r="R14" s="142">
        <v>-8417</v>
      </c>
      <c r="S14" s="142">
        <v>0</v>
      </c>
      <c r="T14" s="142">
        <v>0</v>
      </c>
      <c r="U14" s="142">
        <v>0</v>
      </c>
      <c r="V14" s="142">
        <v>-11727</v>
      </c>
      <c r="W14" s="142">
        <v>-10684</v>
      </c>
      <c r="X14" s="142">
        <v>-10738</v>
      </c>
      <c r="Y14" s="142">
        <v>-8534</v>
      </c>
      <c r="Z14" s="142">
        <v>-8679</v>
      </c>
      <c r="AA14" s="142">
        <v>-10111</v>
      </c>
      <c r="AB14" s="142">
        <v>-9734</v>
      </c>
      <c r="AC14" s="142">
        <v>-8349</v>
      </c>
      <c r="AD14" s="142">
        <v>-11024</v>
      </c>
      <c r="AE14" s="142">
        <v>-11716.867387805602</v>
      </c>
      <c r="AF14" s="142">
        <v>-11550</v>
      </c>
      <c r="AG14" s="142">
        <v>-11591</v>
      </c>
      <c r="AH14" s="142">
        <v>-12502</v>
      </c>
      <c r="AI14" s="142">
        <v>-12502</v>
      </c>
      <c r="AJ14" s="142">
        <v>-14326</v>
      </c>
      <c r="AK14" s="142">
        <v>-14686</v>
      </c>
      <c r="AL14" s="142">
        <v>-16166</v>
      </c>
      <c r="AM14" s="142">
        <v>-17300</v>
      </c>
      <c r="AN14" s="142">
        <v>-21552</v>
      </c>
    </row>
    <row r="15" spans="1:40" ht="13" customHeight="1">
      <c r="A15" s="84" t="s">
        <v>547</v>
      </c>
      <c r="B15" s="84" t="s">
        <v>546</v>
      </c>
      <c r="C15" s="142" t="s">
        <v>670</v>
      </c>
      <c r="D15" s="142" t="s">
        <v>670</v>
      </c>
      <c r="E15" s="142" t="s">
        <v>670</v>
      </c>
      <c r="F15" s="142">
        <v>-5606</v>
      </c>
      <c r="G15" s="142" t="s">
        <v>670</v>
      </c>
      <c r="H15" s="142" t="s">
        <v>670</v>
      </c>
      <c r="I15" s="142" t="s">
        <v>670</v>
      </c>
      <c r="J15" s="142">
        <v>-10144</v>
      </c>
      <c r="K15" s="142">
        <v>-7408</v>
      </c>
      <c r="L15" s="142">
        <v>-45157</v>
      </c>
      <c r="M15" s="142">
        <v>-58362</v>
      </c>
      <c r="N15" s="142">
        <v>-21428</v>
      </c>
      <c r="O15" s="142">
        <v>-78715</v>
      </c>
      <c r="P15" s="142">
        <v>-97923</v>
      </c>
      <c r="Q15" s="142">
        <v>687621</v>
      </c>
      <c r="R15" s="142">
        <v>850592</v>
      </c>
      <c r="S15" s="142">
        <v>673366</v>
      </c>
      <c r="T15" s="142">
        <v>642357</v>
      </c>
      <c r="U15" s="142">
        <v>647358</v>
      </c>
      <c r="V15" s="142">
        <v>567600</v>
      </c>
      <c r="W15" s="142">
        <v>407403</v>
      </c>
      <c r="X15" s="142">
        <v>617443</v>
      </c>
      <c r="Y15" s="142">
        <v>488181</v>
      </c>
      <c r="Z15" s="142">
        <v>435026</v>
      </c>
      <c r="AA15" s="142">
        <v>194987</v>
      </c>
      <c r="AB15" s="142">
        <v>168135</v>
      </c>
      <c r="AC15" s="142">
        <v>125686</v>
      </c>
      <c r="AD15" s="142">
        <v>-57197</v>
      </c>
      <c r="AE15" s="142">
        <v>-120724</v>
      </c>
      <c r="AF15" s="142">
        <v>-85802</v>
      </c>
      <c r="AG15" s="142">
        <v>-130413</v>
      </c>
      <c r="AH15" s="142">
        <v>-131684</v>
      </c>
      <c r="AI15" s="142">
        <v>-56025</v>
      </c>
      <c r="AJ15" s="142">
        <v>-416003</v>
      </c>
      <c r="AK15" s="142">
        <v>-372467</v>
      </c>
      <c r="AL15" s="142">
        <v>-273106</v>
      </c>
      <c r="AM15" s="142">
        <v>-118774</v>
      </c>
      <c r="AN15" s="142">
        <v>-77176</v>
      </c>
    </row>
    <row r="16" spans="1:40" ht="13" customHeight="1">
      <c r="A16" s="85" t="s">
        <v>384</v>
      </c>
      <c r="B16" s="85" t="s">
        <v>385</v>
      </c>
      <c r="C16" s="81">
        <f t="shared" ref="C16:AN16" si="9">C17</f>
        <v>698911</v>
      </c>
      <c r="D16" s="81">
        <f t="shared" si="9"/>
        <v>697776</v>
      </c>
      <c r="E16" s="81">
        <f t="shared" si="9"/>
        <v>696019</v>
      </c>
      <c r="F16" s="81">
        <f t="shared" si="9"/>
        <v>877406</v>
      </c>
      <c r="G16" s="81">
        <f t="shared" si="9"/>
        <v>875331</v>
      </c>
      <c r="H16" s="81">
        <f t="shared" si="9"/>
        <v>1126592</v>
      </c>
      <c r="I16" s="81">
        <f t="shared" si="9"/>
        <v>907411</v>
      </c>
      <c r="J16" s="81">
        <f t="shared" si="9"/>
        <v>1093385</v>
      </c>
      <c r="K16" s="81">
        <f t="shared" si="9"/>
        <v>1064999</v>
      </c>
      <c r="L16" s="81">
        <f t="shared" si="9"/>
        <v>1035086</v>
      </c>
      <c r="M16" s="81">
        <f t="shared" si="9"/>
        <v>1001978</v>
      </c>
      <c r="N16" s="81">
        <f t="shared" si="9"/>
        <v>1563000</v>
      </c>
      <c r="O16" s="81">
        <f t="shared" si="9"/>
        <v>1676097</v>
      </c>
      <c r="P16" s="81">
        <f t="shared" si="9"/>
        <v>1639833</v>
      </c>
      <c r="Q16" s="81">
        <f t="shared" si="9"/>
        <v>1600715</v>
      </c>
      <c r="R16" s="81">
        <f t="shared" si="9"/>
        <v>1562699</v>
      </c>
      <c r="S16" s="81">
        <f t="shared" si="9"/>
        <v>1525274</v>
      </c>
      <c r="T16" s="81">
        <f t="shared" si="9"/>
        <v>1485451</v>
      </c>
      <c r="U16" s="81">
        <f t="shared" si="9"/>
        <v>1443757</v>
      </c>
      <c r="V16" s="81">
        <f t="shared" si="9"/>
        <v>1342232</v>
      </c>
      <c r="W16" s="81">
        <f t="shared" si="9"/>
        <v>1292097</v>
      </c>
      <c r="X16" s="81">
        <f t="shared" si="9"/>
        <v>1240455</v>
      </c>
      <c r="Y16" s="81">
        <f t="shared" si="9"/>
        <v>1188731</v>
      </c>
      <c r="Z16" s="81">
        <f t="shared" si="9"/>
        <v>1113182</v>
      </c>
      <c r="AA16" s="81">
        <f t="shared" si="9"/>
        <v>1025460</v>
      </c>
      <c r="AB16" s="81">
        <f t="shared" si="9"/>
        <v>948393</v>
      </c>
      <c r="AC16" s="81">
        <f t="shared" si="9"/>
        <v>871875</v>
      </c>
      <c r="AD16" s="81">
        <f t="shared" si="9"/>
        <v>797727</v>
      </c>
      <c r="AE16" s="81">
        <f t="shared" si="9"/>
        <v>733180</v>
      </c>
      <c r="AF16" s="81">
        <f t="shared" si="9"/>
        <v>672504</v>
      </c>
      <c r="AG16" s="81">
        <f t="shared" si="9"/>
        <v>632375</v>
      </c>
      <c r="AH16" s="81">
        <f t="shared" si="9"/>
        <v>567721</v>
      </c>
      <c r="AI16" s="81">
        <f t="shared" si="9"/>
        <v>567721</v>
      </c>
      <c r="AJ16" s="81">
        <f t="shared" si="9"/>
        <v>517945</v>
      </c>
      <c r="AK16" s="81">
        <f t="shared" si="9"/>
        <v>451904</v>
      </c>
      <c r="AL16" s="81">
        <f t="shared" si="9"/>
        <v>399550</v>
      </c>
      <c r="AM16" s="81">
        <f t="shared" si="9"/>
        <v>334035</v>
      </c>
      <c r="AN16" s="81">
        <f t="shared" si="9"/>
        <v>247133</v>
      </c>
    </row>
    <row r="17" spans="1:40" ht="13" customHeight="1">
      <c r="A17" s="84" t="s">
        <v>545</v>
      </c>
      <c r="B17" s="84" t="s">
        <v>31</v>
      </c>
      <c r="C17" s="83">
        <v>698911</v>
      </c>
      <c r="D17" s="83">
        <v>697776</v>
      </c>
      <c r="E17" s="83">
        <v>696019</v>
      </c>
      <c r="F17" s="83">
        <v>877406</v>
      </c>
      <c r="G17" s="83">
        <v>875331</v>
      </c>
      <c r="H17" s="83">
        <v>1126592</v>
      </c>
      <c r="I17" s="83">
        <v>907411</v>
      </c>
      <c r="J17" s="83">
        <v>1093385</v>
      </c>
      <c r="K17" s="83">
        <v>1064999</v>
      </c>
      <c r="L17" s="83">
        <v>1035086</v>
      </c>
      <c r="M17" s="83">
        <v>1001978</v>
      </c>
      <c r="N17" s="83">
        <v>1563000</v>
      </c>
      <c r="O17" s="83">
        <v>1676097</v>
      </c>
      <c r="P17" s="83">
        <v>1639833</v>
      </c>
      <c r="Q17" s="83">
        <v>1600715</v>
      </c>
      <c r="R17" s="83">
        <v>1562699</v>
      </c>
      <c r="S17" s="83">
        <v>1525274</v>
      </c>
      <c r="T17" s="83">
        <v>1485451</v>
      </c>
      <c r="U17" s="83">
        <v>1443757</v>
      </c>
      <c r="V17" s="83">
        <v>1342232</v>
      </c>
      <c r="W17" s="83">
        <v>1292097</v>
      </c>
      <c r="X17" s="83">
        <v>1240455</v>
      </c>
      <c r="Y17" s="83">
        <v>1188731</v>
      </c>
      <c r="Z17" s="83">
        <v>1113182</v>
      </c>
      <c r="AA17" s="83">
        <v>1025460</v>
      </c>
      <c r="AB17" s="83">
        <v>948393</v>
      </c>
      <c r="AC17" s="83">
        <v>871875</v>
      </c>
      <c r="AD17" s="83">
        <v>797727</v>
      </c>
      <c r="AE17" s="83">
        <v>733180</v>
      </c>
      <c r="AF17" s="83">
        <v>672504</v>
      </c>
      <c r="AG17" s="83">
        <v>632375</v>
      </c>
      <c r="AH17" s="83">
        <v>567721</v>
      </c>
      <c r="AI17" s="83">
        <v>567721</v>
      </c>
      <c r="AJ17" s="83">
        <v>517945</v>
      </c>
      <c r="AK17" s="83">
        <v>451904</v>
      </c>
      <c r="AL17" s="83">
        <v>399550</v>
      </c>
      <c r="AM17" s="83">
        <v>334035</v>
      </c>
      <c r="AN17" s="83">
        <v>247133</v>
      </c>
    </row>
    <row r="18" spans="1:40" ht="13" customHeight="1"/>
    <row r="19" spans="1:40" s="31" customFormat="1" ht="13" customHeight="1">
      <c r="A19" s="85" t="s">
        <v>386</v>
      </c>
      <c r="B19" s="85" t="s">
        <v>387</v>
      </c>
      <c r="C19" s="81">
        <f t="shared" ref="C19:U19" si="10">SUM(C20:C23)</f>
        <v>2154537</v>
      </c>
      <c r="D19" s="81">
        <f t="shared" si="10"/>
        <v>2192424</v>
      </c>
      <c r="E19" s="81">
        <f t="shared" si="10"/>
        <v>2312783</v>
      </c>
      <c r="F19" s="81">
        <f t="shared" si="10"/>
        <v>2457567</v>
      </c>
      <c r="G19" s="81">
        <f t="shared" si="10"/>
        <v>2378091</v>
      </c>
      <c r="H19" s="81">
        <f t="shared" si="10"/>
        <v>2488941</v>
      </c>
      <c r="I19" s="81">
        <f t="shared" si="10"/>
        <v>2731055</v>
      </c>
      <c r="J19" s="81">
        <f t="shared" si="10"/>
        <v>3720992</v>
      </c>
      <c r="K19" s="81">
        <f t="shared" si="10"/>
        <v>3777491</v>
      </c>
      <c r="L19" s="81">
        <f t="shared" si="10"/>
        <v>3940471</v>
      </c>
      <c r="M19" s="81">
        <f t="shared" si="10"/>
        <v>3939494</v>
      </c>
      <c r="N19" s="81">
        <f t="shared" si="10"/>
        <v>4024070</v>
      </c>
      <c r="O19" s="81">
        <f t="shared" si="10"/>
        <v>4030406</v>
      </c>
      <c r="P19" s="81">
        <f t="shared" si="10"/>
        <v>4064792</v>
      </c>
      <c r="Q19" s="81">
        <f t="shared" si="10"/>
        <v>4106542</v>
      </c>
      <c r="R19" s="81">
        <f t="shared" si="10"/>
        <v>4117482</v>
      </c>
      <c r="S19" s="81">
        <f t="shared" si="10"/>
        <v>4089577</v>
      </c>
      <c r="T19" s="81">
        <f t="shared" si="10"/>
        <v>4069203</v>
      </c>
      <c r="U19" s="81">
        <f t="shared" si="10"/>
        <v>4035315</v>
      </c>
      <c r="V19" s="81">
        <f t="shared" ref="V19:AD19" si="11">SUM(V20:V23)</f>
        <v>3950360</v>
      </c>
      <c r="W19" s="81">
        <f t="shared" si="11"/>
        <v>4003588</v>
      </c>
      <c r="X19" s="81">
        <f t="shared" si="11"/>
        <v>3854675</v>
      </c>
      <c r="Y19" s="81">
        <f t="shared" si="11"/>
        <v>3920404</v>
      </c>
      <c r="Z19" s="81">
        <f t="shared" si="11"/>
        <v>3865246</v>
      </c>
      <c r="AA19" s="81">
        <f t="shared" si="11"/>
        <v>3852458</v>
      </c>
      <c r="AB19" s="81">
        <f t="shared" si="11"/>
        <v>3861602</v>
      </c>
      <c r="AC19" s="81">
        <f t="shared" si="11"/>
        <v>3814538</v>
      </c>
      <c r="AD19" s="81">
        <f t="shared" si="11"/>
        <v>3952896</v>
      </c>
      <c r="AE19" s="81">
        <f t="shared" ref="AE19:AF19" si="12">SUM(AE20:AE23)</f>
        <v>3891625</v>
      </c>
      <c r="AF19" s="81">
        <f t="shared" si="12"/>
        <v>3961093</v>
      </c>
      <c r="AG19" s="81">
        <f t="shared" ref="AG19:AI19" si="13">SUM(AG20:AG23)</f>
        <v>3988145</v>
      </c>
      <c r="AH19" s="81">
        <f t="shared" si="13"/>
        <v>3832108.0591770429</v>
      </c>
      <c r="AI19" s="81">
        <f t="shared" si="13"/>
        <v>3723849</v>
      </c>
      <c r="AJ19" s="81">
        <f t="shared" ref="AJ19:AK19" si="14">SUM(AJ20:AJ23)</f>
        <v>3764257</v>
      </c>
      <c r="AK19" s="81">
        <f t="shared" si="14"/>
        <v>3830165</v>
      </c>
      <c r="AL19" s="81">
        <f t="shared" ref="AL19:AM19" si="15">SUM(AL20:AL23)</f>
        <v>3900041</v>
      </c>
      <c r="AM19" s="81">
        <f t="shared" si="15"/>
        <v>3974036</v>
      </c>
      <c r="AN19" s="81">
        <f t="shared" ref="AN19" si="16">SUM(AN20:AN23)</f>
        <v>4048542</v>
      </c>
    </row>
    <row r="20" spans="1:40" ht="13" customHeight="1">
      <c r="A20" s="84" t="s">
        <v>388</v>
      </c>
      <c r="B20" s="84" t="s">
        <v>389</v>
      </c>
      <c r="C20" s="83">
        <v>1882739</v>
      </c>
      <c r="D20" s="83">
        <v>1952908</v>
      </c>
      <c r="E20" s="83">
        <v>2072103</v>
      </c>
      <c r="F20" s="83">
        <v>2214189</v>
      </c>
      <c r="G20" s="83">
        <v>2082193</v>
      </c>
      <c r="H20" s="83">
        <v>2182161</v>
      </c>
      <c r="I20" s="83">
        <v>2428518</v>
      </c>
      <c r="J20" s="83">
        <v>3238125</v>
      </c>
      <c r="K20" s="83">
        <v>3267350</v>
      </c>
      <c r="L20" s="83">
        <v>3428115</v>
      </c>
      <c r="M20" s="83">
        <v>3439851</v>
      </c>
      <c r="N20" s="83">
        <v>3535517</v>
      </c>
      <c r="O20" s="83">
        <v>3576485</v>
      </c>
      <c r="P20" s="83">
        <v>3619220</v>
      </c>
      <c r="Q20" s="83">
        <v>3659344</v>
      </c>
      <c r="R20" s="83">
        <v>3662124</v>
      </c>
      <c r="S20" s="83">
        <v>3743158</v>
      </c>
      <c r="T20" s="83">
        <v>3752234</v>
      </c>
      <c r="U20" s="83">
        <v>3700796</v>
      </c>
      <c r="V20" s="83">
        <v>3618145</v>
      </c>
      <c r="W20" s="83">
        <v>3669605</v>
      </c>
      <c r="X20" s="83">
        <v>3506177</v>
      </c>
      <c r="Y20" s="83">
        <v>3594502</v>
      </c>
      <c r="Z20" s="83">
        <v>3535303</v>
      </c>
      <c r="AA20" s="83">
        <v>3531048</v>
      </c>
      <c r="AB20" s="83">
        <v>3547076</v>
      </c>
      <c r="AC20" s="83">
        <v>3494458</v>
      </c>
      <c r="AD20" s="83">
        <v>3622321</v>
      </c>
      <c r="AE20" s="83">
        <v>3555681</v>
      </c>
      <c r="AF20" s="83">
        <v>3624044</v>
      </c>
      <c r="AG20" s="83">
        <v>3639953</v>
      </c>
      <c r="AH20" s="83">
        <v>3471227</v>
      </c>
      <c r="AI20" s="83">
        <v>3362968</v>
      </c>
      <c r="AJ20" s="83">
        <v>3391570</v>
      </c>
      <c r="AK20" s="83">
        <v>3431808</v>
      </c>
      <c r="AL20" s="83">
        <v>3500491</v>
      </c>
      <c r="AM20" s="83">
        <v>3610069</v>
      </c>
      <c r="AN20" s="83">
        <v>3657570</v>
      </c>
    </row>
    <row r="21" spans="1:40" ht="13" customHeight="1">
      <c r="A21" s="84" t="s">
        <v>390</v>
      </c>
      <c r="B21" s="84" t="s">
        <v>391</v>
      </c>
      <c r="C21" s="83">
        <v>1733</v>
      </c>
      <c r="D21" s="83">
        <v>2372</v>
      </c>
      <c r="E21" s="83">
        <v>1715</v>
      </c>
      <c r="F21" s="83">
        <v>2520</v>
      </c>
      <c r="G21" s="83">
        <v>2822</v>
      </c>
      <c r="H21" s="83">
        <v>2099</v>
      </c>
      <c r="I21" s="83">
        <v>1996</v>
      </c>
      <c r="J21" s="83">
        <v>2687</v>
      </c>
      <c r="K21" s="83">
        <v>3675</v>
      </c>
      <c r="L21" s="83">
        <v>3347</v>
      </c>
      <c r="M21" s="83">
        <v>3208</v>
      </c>
      <c r="N21" s="83">
        <v>4826</v>
      </c>
      <c r="O21" s="83">
        <v>1538</v>
      </c>
      <c r="P21" s="83">
        <v>2940</v>
      </c>
      <c r="Q21" s="83">
        <v>8203</v>
      </c>
      <c r="R21" s="83">
        <v>3497</v>
      </c>
      <c r="S21" s="83">
        <v>5106</v>
      </c>
      <c r="T21" s="83">
        <v>864</v>
      </c>
      <c r="U21" s="83">
        <v>5689</v>
      </c>
      <c r="V21" s="83">
        <v>5253</v>
      </c>
      <c r="W21" s="83">
        <v>4101</v>
      </c>
      <c r="X21" s="83">
        <v>6914</v>
      </c>
      <c r="Y21" s="83">
        <v>5466</v>
      </c>
      <c r="Z21" s="83">
        <v>8552</v>
      </c>
      <c r="AA21" s="83">
        <v>6007</v>
      </c>
      <c r="AB21" s="83">
        <v>2821</v>
      </c>
      <c r="AC21" s="83">
        <v>3306</v>
      </c>
      <c r="AD21" s="83">
        <v>9275</v>
      </c>
      <c r="AE21" s="83">
        <v>3972</v>
      </c>
      <c r="AF21" s="83">
        <v>3691</v>
      </c>
      <c r="AG21" s="83">
        <v>5130</v>
      </c>
      <c r="AH21" s="83">
        <v>2781</v>
      </c>
      <c r="AI21" s="83">
        <v>2781</v>
      </c>
      <c r="AJ21" s="83">
        <v>4316</v>
      </c>
      <c r="AK21" s="83">
        <v>3632</v>
      </c>
      <c r="AL21" s="83">
        <v>4187</v>
      </c>
      <c r="AM21" s="83">
        <v>3831</v>
      </c>
      <c r="AN21" s="83">
        <v>4717</v>
      </c>
    </row>
    <row r="22" spans="1:40" ht="13" customHeight="1">
      <c r="A22" s="84" t="s">
        <v>392</v>
      </c>
      <c r="B22" s="84" t="s">
        <v>393</v>
      </c>
      <c r="C22" s="83">
        <v>27727</v>
      </c>
      <c r="D22" s="83">
        <v>28923</v>
      </c>
      <c r="E22" s="83">
        <v>30744</v>
      </c>
      <c r="F22" s="83">
        <v>32637</v>
      </c>
      <c r="G22" s="83">
        <v>38861</v>
      </c>
      <c r="H22" s="83">
        <v>50466</v>
      </c>
      <c r="I22" s="83">
        <v>46326</v>
      </c>
      <c r="J22" s="83">
        <v>65760</v>
      </c>
      <c r="K22" s="83">
        <v>69351</v>
      </c>
      <c r="L22" s="83">
        <v>71894</v>
      </c>
      <c r="M22" s="83">
        <v>59320</v>
      </c>
      <c r="N22" s="83">
        <v>46612</v>
      </c>
      <c r="O22" s="83">
        <v>50554</v>
      </c>
      <c r="P22" s="83">
        <v>40803</v>
      </c>
      <c r="Q22" s="83">
        <v>37166</v>
      </c>
      <c r="R22" s="83">
        <v>36991</v>
      </c>
      <c r="S22" s="83">
        <v>26588</v>
      </c>
      <c r="T22" s="83">
        <v>27261</v>
      </c>
      <c r="U22" s="83">
        <v>22873</v>
      </c>
      <c r="V22" s="83">
        <v>20602</v>
      </c>
      <c r="W22" s="83">
        <v>27739</v>
      </c>
      <c r="X22" s="83">
        <v>22677</v>
      </c>
      <c r="Y22" s="83">
        <v>21830</v>
      </c>
      <c r="Z22" s="83">
        <v>24728</v>
      </c>
      <c r="AA22" s="83">
        <v>21271</v>
      </c>
      <c r="AB22" s="83">
        <v>14918</v>
      </c>
      <c r="AC22" s="83">
        <v>11362</v>
      </c>
      <c r="AD22" s="83">
        <v>11631</v>
      </c>
      <c r="AE22" s="83">
        <v>20687</v>
      </c>
      <c r="AF22" s="83">
        <v>16378</v>
      </c>
      <c r="AG22" s="83">
        <v>13731</v>
      </c>
      <c r="AH22" s="83">
        <v>9980.0591770428964</v>
      </c>
      <c r="AI22" s="83">
        <v>9980</v>
      </c>
      <c r="AJ22" s="83">
        <v>18219</v>
      </c>
      <c r="AK22" s="83">
        <v>15574</v>
      </c>
      <c r="AL22" s="83">
        <v>16210</v>
      </c>
      <c r="AM22" s="83">
        <v>17388</v>
      </c>
      <c r="AN22" s="83">
        <v>11889</v>
      </c>
    </row>
    <row r="23" spans="1:40" ht="13" customHeight="1">
      <c r="A23" s="84" t="s">
        <v>394</v>
      </c>
      <c r="B23" s="84" t="s">
        <v>395</v>
      </c>
      <c r="C23" s="83">
        <v>242338</v>
      </c>
      <c r="D23" s="83">
        <v>208221</v>
      </c>
      <c r="E23" s="83">
        <v>208221</v>
      </c>
      <c r="F23" s="83">
        <v>208221</v>
      </c>
      <c r="G23" s="83">
        <v>254215</v>
      </c>
      <c r="H23" s="83">
        <v>254215</v>
      </c>
      <c r="I23" s="83">
        <v>254215</v>
      </c>
      <c r="J23" s="83">
        <v>414420</v>
      </c>
      <c r="K23" s="83">
        <v>437115</v>
      </c>
      <c r="L23" s="83">
        <v>437115</v>
      </c>
      <c r="M23" s="83">
        <v>437115</v>
      </c>
      <c r="N23" s="83">
        <v>437115</v>
      </c>
      <c r="O23" s="83">
        <v>401829</v>
      </c>
      <c r="P23" s="83">
        <v>401829</v>
      </c>
      <c r="Q23" s="83">
        <v>401829</v>
      </c>
      <c r="R23" s="83">
        <v>414870</v>
      </c>
      <c r="S23" s="83">
        <v>314725</v>
      </c>
      <c r="T23" s="83">
        <v>288844</v>
      </c>
      <c r="U23" s="83">
        <v>305957</v>
      </c>
      <c r="V23" s="83">
        <v>306360</v>
      </c>
      <c r="W23" s="83">
        <v>302143</v>
      </c>
      <c r="X23" s="83">
        <v>318907</v>
      </c>
      <c r="Y23" s="83">
        <v>298606</v>
      </c>
      <c r="Z23" s="83">
        <v>296663</v>
      </c>
      <c r="AA23" s="83">
        <v>294132</v>
      </c>
      <c r="AB23" s="83">
        <v>296787</v>
      </c>
      <c r="AC23" s="83">
        <v>305412</v>
      </c>
      <c r="AD23" s="83">
        <v>309669</v>
      </c>
      <c r="AE23" s="83">
        <v>311285</v>
      </c>
      <c r="AF23" s="83">
        <v>316980</v>
      </c>
      <c r="AG23" s="83">
        <v>329331</v>
      </c>
      <c r="AH23" s="83">
        <v>348120</v>
      </c>
      <c r="AI23" s="83">
        <v>348120</v>
      </c>
      <c r="AJ23" s="83">
        <v>350152</v>
      </c>
      <c r="AK23" s="83">
        <v>379151</v>
      </c>
      <c r="AL23" s="83">
        <v>379153</v>
      </c>
      <c r="AM23" s="83">
        <v>342748</v>
      </c>
      <c r="AN23" s="83">
        <v>374366</v>
      </c>
    </row>
    <row r="24" spans="1:40" ht="13" customHeight="1"/>
    <row r="25" spans="1:40" ht="13" customHeight="1">
      <c r="A25" s="84" t="s">
        <v>396</v>
      </c>
      <c r="B25" s="84" t="s">
        <v>397</v>
      </c>
      <c r="C25" s="82">
        <v>0.1042</v>
      </c>
      <c r="D25" s="82">
        <v>0.1023</v>
      </c>
      <c r="E25" s="82">
        <v>0.10299999999999999</v>
      </c>
      <c r="F25" s="82">
        <v>9.69E-2</v>
      </c>
      <c r="G25" s="82">
        <v>0.1057</v>
      </c>
      <c r="H25" s="82">
        <v>0.1731</v>
      </c>
      <c r="I25" s="82">
        <v>0.13389999999999999</v>
      </c>
      <c r="J25" s="82">
        <v>0.1129</v>
      </c>
      <c r="K25" s="82">
        <v>0.1215</v>
      </c>
      <c r="L25" s="82">
        <v>0.1154</v>
      </c>
      <c r="M25" s="82">
        <v>0.1202</v>
      </c>
      <c r="N25" s="82">
        <v>0.121</v>
      </c>
      <c r="O25" s="82">
        <v>0.12089999999999999</v>
      </c>
      <c r="P25" s="82">
        <v>0.122</v>
      </c>
      <c r="Q25" s="82">
        <v>0.12139999999999999</v>
      </c>
      <c r="R25" s="82">
        <v>0.12809999999999999</v>
      </c>
      <c r="S25" s="82">
        <v>0.1242</v>
      </c>
      <c r="T25" s="82">
        <v>0.12920000000000001</v>
      </c>
      <c r="U25" s="82">
        <v>0.13370000000000001</v>
      </c>
      <c r="V25" s="82">
        <v>0.1348</v>
      </c>
      <c r="W25" s="82">
        <v>0.12939999999999999</v>
      </c>
      <c r="X25" s="82">
        <v>0.13139999999999999</v>
      </c>
      <c r="Y25" s="82">
        <v>0.1298</v>
      </c>
      <c r="Z25" s="82">
        <v>0.13550000000000001</v>
      </c>
      <c r="AA25" s="82">
        <v>0.13139999999999999</v>
      </c>
      <c r="AB25" s="82">
        <v>0.12989999999999999</v>
      </c>
      <c r="AC25" s="82">
        <v>0.1348</v>
      </c>
      <c r="AD25" s="82">
        <v>0.1255</v>
      </c>
      <c r="AE25" s="82">
        <v>0.13059999999999999</v>
      </c>
      <c r="AF25" s="82">
        <v>0.1263</v>
      </c>
      <c r="AG25" s="82">
        <v>0.12429999999999999</v>
      </c>
      <c r="AH25" s="82">
        <v>0.13</v>
      </c>
      <c r="AI25" s="82">
        <v>0.15010000000000001</v>
      </c>
      <c r="AJ25" s="82">
        <v>0.1426</v>
      </c>
      <c r="AK25" s="82">
        <v>0.1416</v>
      </c>
      <c r="AL25" s="82">
        <v>0.15859999999999999</v>
      </c>
      <c r="AM25" s="82">
        <v>0.17150000000000001</v>
      </c>
      <c r="AN25" s="82">
        <v>0.16969999999999999</v>
      </c>
    </row>
    <row r="26" spans="1:40" ht="13" customHeight="1">
      <c r="A26" s="84" t="s">
        <v>398</v>
      </c>
      <c r="B26" s="84" t="s">
        <v>399</v>
      </c>
      <c r="C26" s="82">
        <v>0.13009999999999999</v>
      </c>
      <c r="D26" s="82">
        <v>0.1278</v>
      </c>
      <c r="E26" s="82">
        <v>0.12709999999999999</v>
      </c>
      <c r="F26" s="82">
        <v>0.12540000000000001</v>
      </c>
      <c r="G26" s="82">
        <v>0.1351</v>
      </c>
      <c r="H26" s="82">
        <v>0.20930000000000001</v>
      </c>
      <c r="I26" s="82">
        <v>0.1605</v>
      </c>
      <c r="J26" s="82">
        <v>0.13650000000000001</v>
      </c>
      <c r="K26" s="82">
        <v>0.14399999999999999</v>
      </c>
      <c r="L26" s="82">
        <v>0.13650000000000001</v>
      </c>
      <c r="M26" s="82">
        <v>0.1406</v>
      </c>
      <c r="N26" s="82">
        <v>0.15210000000000001</v>
      </c>
      <c r="O26" s="82">
        <v>0.1542</v>
      </c>
      <c r="P26" s="82">
        <v>0.15429999999999999</v>
      </c>
      <c r="Q26" s="82">
        <v>0.15260000000000001</v>
      </c>
      <c r="R26" s="82">
        <v>0.1585</v>
      </c>
      <c r="S26" s="82">
        <v>0.154</v>
      </c>
      <c r="T26" s="82">
        <v>0.15840000000000001</v>
      </c>
      <c r="U26" s="82">
        <v>0.16239999999999999</v>
      </c>
      <c r="V26" s="82">
        <v>0.16200000000000001</v>
      </c>
      <c r="W26" s="82">
        <v>0.1552</v>
      </c>
      <c r="X26" s="82">
        <v>0.15720000000000001</v>
      </c>
      <c r="Y26" s="82">
        <v>0.15409999999999999</v>
      </c>
      <c r="Z26" s="82">
        <v>0.1585</v>
      </c>
      <c r="AA26" s="82">
        <v>0.1527</v>
      </c>
      <c r="AB26" s="82">
        <v>0.14949999999999999</v>
      </c>
      <c r="AC26" s="82">
        <v>0.153</v>
      </c>
      <c r="AD26" s="82">
        <v>0.1416</v>
      </c>
      <c r="AE26" s="82">
        <v>0.14560000000000001</v>
      </c>
      <c r="AF26" s="82">
        <v>0.1399</v>
      </c>
      <c r="AG26" s="82">
        <v>0.13700000000000001</v>
      </c>
      <c r="AH26" s="82">
        <v>0.1419</v>
      </c>
      <c r="AI26" s="82">
        <v>0.1623</v>
      </c>
      <c r="AJ26" s="82">
        <v>0.15359999999999999</v>
      </c>
      <c r="AK26" s="82">
        <v>0.15110000000000001</v>
      </c>
      <c r="AL26" s="82">
        <v>0.1668</v>
      </c>
      <c r="AM26" s="82">
        <v>0.17829999999999999</v>
      </c>
      <c r="AN26" s="82">
        <v>0.17460000000000001</v>
      </c>
    </row>
    <row r="27" spans="1:40" ht="13" customHeight="1"/>
    <row r="28" spans="1:40" s="31" customFormat="1" ht="13" customHeight="1">
      <c r="A28" s="85" t="s">
        <v>400</v>
      </c>
      <c r="B28" s="85" t="s">
        <v>401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</row>
    <row r="29" spans="1:40" ht="13" customHeight="1">
      <c r="A29" s="84" t="s">
        <v>396</v>
      </c>
      <c r="B29" s="84" t="s">
        <v>397</v>
      </c>
      <c r="C29" s="82">
        <v>0.09</v>
      </c>
      <c r="D29" s="82">
        <v>0.09</v>
      </c>
      <c r="E29" s="82">
        <v>0.09</v>
      </c>
      <c r="F29" s="82">
        <v>0.09</v>
      </c>
      <c r="G29" s="82">
        <v>0.10249999999999999</v>
      </c>
      <c r="H29" s="82">
        <v>0.10249999999999999</v>
      </c>
      <c r="I29" s="82">
        <v>0.10249999999999999</v>
      </c>
      <c r="J29" s="82">
        <v>0.10249999999999999</v>
      </c>
      <c r="K29" s="82">
        <v>0.10249999999999999</v>
      </c>
      <c r="L29" s="82">
        <v>0.10249999999999999</v>
      </c>
      <c r="M29" s="82">
        <v>0.10249999999999999</v>
      </c>
      <c r="N29" s="82">
        <v>0.10249999999999999</v>
      </c>
      <c r="O29" s="82">
        <v>0.10875</v>
      </c>
      <c r="P29" s="82">
        <v>0.10875</v>
      </c>
      <c r="Q29" s="82">
        <v>0.11125</v>
      </c>
      <c r="R29" s="82">
        <v>0.11125</v>
      </c>
      <c r="S29" s="82">
        <v>0.11749999999999999</v>
      </c>
      <c r="T29" s="82">
        <v>0.11749999999999999</v>
      </c>
      <c r="U29" s="82">
        <v>0.11749999999999999</v>
      </c>
      <c r="V29" s="82">
        <v>0.115</v>
      </c>
      <c r="W29" s="82">
        <v>8.5000000000000006E-2</v>
      </c>
      <c r="X29" s="82">
        <v>8.5000000000000006E-2</v>
      </c>
      <c r="Y29" s="82">
        <v>8.5000000000000006E-2</v>
      </c>
      <c r="Z29" s="82">
        <v>8.5000000000000006E-2</v>
      </c>
      <c r="AA29" s="82">
        <v>8.5000000000000006E-2</v>
      </c>
      <c r="AB29" s="82">
        <v>8.5000000000000006E-2</v>
      </c>
      <c r="AC29" s="82">
        <v>8.5000000000000006E-2</v>
      </c>
      <c r="AD29" s="82">
        <v>8.5000000000000006E-2</v>
      </c>
      <c r="AE29" s="82">
        <v>9.9699999999999997E-2</v>
      </c>
      <c r="AF29" s="82">
        <v>9.9699999999999997E-2</v>
      </c>
      <c r="AG29" s="82">
        <v>9.9699999999999997E-2</v>
      </c>
      <c r="AH29" s="82">
        <v>8.6499999999999994E-2</v>
      </c>
      <c r="AI29" s="82">
        <v>8.6499999999999994E-2</v>
      </c>
      <c r="AJ29" s="82">
        <v>8.6499999999999994E-2</v>
      </c>
      <c r="AK29" s="82">
        <v>8.6499999999999994E-2</v>
      </c>
      <c r="AL29" s="82">
        <v>8.6499999999999994E-2</v>
      </c>
      <c r="AM29" s="82">
        <v>8.6599999999999996E-2</v>
      </c>
      <c r="AN29" s="82">
        <v>8.6699999999999999E-2</v>
      </c>
    </row>
    <row r="30" spans="1:40" ht="13" customHeight="1">
      <c r="A30" s="84" t="s">
        <v>398</v>
      </c>
      <c r="B30" s="84" t="s">
        <v>399</v>
      </c>
      <c r="C30" s="82">
        <v>0.12</v>
      </c>
      <c r="D30" s="82">
        <v>0.12</v>
      </c>
      <c r="E30" s="82">
        <v>0.12</v>
      </c>
      <c r="F30" s="82">
        <v>0.12</v>
      </c>
      <c r="G30" s="82">
        <v>0.13250000000000001</v>
      </c>
      <c r="H30" s="82">
        <v>0.13250000000000001</v>
      </c>
      <c r="I30" s="82">
        <v>0.13250000000000001</v>
      </c>
      <c r="J30" s="82">
        <v>0.13250000000000001</v>
      </c>
      <c r="K30" s="82">
        <v>0.13250000000000001</v>
      </c>
      <c r="L30" s="82">
        <v>0.13250000000000001</v>
      </c>
      <c r="M30" s="82">
        <v>0.13250000000000001</v>
      </c>
      <c r="N30" s="82">
        <v>0.13250000000000001</v>
      </c>
      <c r="O30" s="82">
        <v>0.12875</v>
      </c>
      <c r="P30" s="82">
        <v>0.12875</v>
      </c>
      <c r="Q30" s="82">
        <v>0.13125000000000001</v>
      </c>
      <c r="R30" s="82">
        <v>0.13125000000000001</v>
      </c>
      <c r="S30" s="82">
        <v>0.13749999999999998</v>
      </c>
      <c r="T30" s="82">
        <v>0.13749999999999998</v>
      </c>
      <c r="U30" s="82">
        <v>0.13749999999999998</v>
      </c>
      <c r="V30" s="82">
        <v>0.13500000000000001</v>
      </c>
      <c r="W30" s="82">
        <v>0.105</v>
      </c>
      <c r="X30" s="82">
        <v>0.105</v>
      </c>
      <c r="Y30" s="82">
        <v>0.105</v>
      </c>
      <c r="Z30" s="82">
        <v>0.105</v>
      </c>
      <c r="AA30" s="82">
        <v>0.105</v>
      </c>
      <c r="AB30" s="82">
        <v>0.105</v>
      </c>
      <c r="AC30" s="82">
        <v>0.105</v>
      </c>
      <c r="AD30" s="82">
        <v>0.105</v>
      </c>
      <c r="AE30" s="82">
        <v>0.1197</v>
      </c>
      <c r="AF30" s="82">
        <v>0.1197</v>
      </c>
      <c r="AG30" s="82">
        <v>0.1197</v>
      </c>
      <c r="AH30" s="82">
        <v>0.1065</v>
      </c>
      <c r="AI30" s="82">
        <v>0.1065</v>
      </c>
      <c r="AJ30" s="82">
        <v>0.1065</v>
      </c>
      <c r="AK30" s="82">
        <v>0.1065</v>
      </c>
      <c r="AL30" s="82">
        <v>0.1065</v>
      </c>
      <c r="AM30" s="82">
        <v>0.1066</v>
      </c>
      <c r="AN30" s="82">
        <v>0.1067</v>
      </c>
    </row>
    <row r="31" spans="1:40" ht="13" customHeight="1"/>
    <row r="32" spans="1:40" s="31" customFormat="1" ht="13" customHeight="1">
      <c r="A32" s="85" t="s">
        <v>402</v>
      </c>
      <c r="B32" s="85" t="s">
        <v>403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3" customHeight="1">
      <c r="A33" s="84" t="s">
        <v>396</v>
      </c>
      <c r="B33" s="84" t="s">
        <v>397</v>
      </c>
      <c r="C33" s="82">
        <f t="shared" ref="C33:Z34" si="17">C25-C29</f>
        <v>1.4200000000000004E-2</v>
      </c>
      <c r="D33" s="82">
        <f t="shared" si="17"/>
        <v>1.2300000000000005E-2</v>
      </c>
      <c r="E33" s="82">
        <f t="shared" si="17"/>
        <v>1.2999999999999998E-2</v>
      </c>
      <c r="F33" s="82">
        <f t="shared" si="17"/>
        <v>6.9000000000000034E-3</v>
      </c>
      <c r="G33" s="82">
        <f t="shared" si="17"/>
        <v>3.2000000000000084E-3</v>
      </c>
      <c r="H33" s="82">
        <f t="shared" si="17"/>
        <v>7.060000000000001E-2</v>
      </c>
      <c r="I33" s="82">
        <f t="shared" si="17"/>
        <v>3.1399999999999997E-2</v>
      </c>
      <c r="J33" s="82">
        <f t="shared" si="17"/>
        <v>1.0400000000000006E-2</v>
      </c>
      <c r="K33" s="82">
        <f t="shared" si="17"/>
        <v>1.9000000000000003E-2</v>
      </c>
      <c r="L33" s="82">
        <f t="shared" si="17"/>
        <v>1.2900000000000009E-2</v>
      </c>
      <c r="M33" s="82">
        <f t="shared" si="17"/>
        <v>1.7700000000000007E-2</v>
      </c>
      <c r="N33" s="82">
        <f t="shared" si="17"/>
        <v>1.8500000000000003E-2</v>
      </c>
      <c r="O33" s="82">
        <f t="shared" si="17"/>
        <v>1.2149999999999994E-2</v>
      </c>
      <c r="P33" s="82">
        <f t="shared" si="17"/>
        <v>1.3249999999999998E-2</v>
      </c>
      <c r="Q33" s="82">
        <f t="shared" si="17"/>
        <v>1.0149999999999992E-2</v>
      </c>
      <c r="R33" s="82">
        <f t="shared" si="17"/>
        <v>1.684999999999999E-2</v>
      </c>
      <c r="S33" s="82">
        <f t="shared" si="17"/>
        <v>6.7000000000000115E-3</v>
      </c>
      <c r="T33" s="82">
        <f t="shared" si="17"/>
        <v>1.1700000000000016E-2</v>
      </c>
      <c r="U33" s="82">
        <f t="shared" si="17"/>
        <v>1.620000000000002E-2</v>
      </c>
      <c r="V33" s="82">
        <f t="shared" si="17"/>
        <v>1.9799999999999998E-2</v>
      </c>
      <c r="W33" s="82">
        <f t="shared" si="17"/>
        <v>4.4399999999999981E-2</v>
      </c>
      <c r="X33" s="82">
        <f t="shared" si="17"/>
        <v>4.6399999999999983E-2</v>
      </c>
      <c r="Y33" s="82">
        <f t="shared" si="17"/>
        <v>4.4799999999999993E-2</v>
      </c>
      <c r="Z33" s="82">
        <f t="shared" si="17"/>
        <v>5.0500000000000003E-2</v>
      </c>
      <c r="AA33" s="82">
        <f t="shared" ref="AA33:AD34" si="18">AA25-AA29</f>
        <v>4.6399999999999983E-2</v>
      </c>
      <c r="AB33" s="82">
        <f t="shared" si="18"/>
        <v>4.4899999999999982E-2</v>
      </c>
      <c r="AC33" s="82">
        <f t="shared" si="18"/>
        <v>4.9799999999999997E-2</v>
      </c>
      <c r="AD33" s="82">
        <f t="shared" si="18"/>
        <v>4.0499999999999994E-2</v>
      </c>
      <c r="AE33" s="82">
        <f t="shared" ref="AE33:AF33" si="19">AE25-AE29</f>
        <v>3.0899999999999997E-2</v>
      </c>
      <c r="AF33" s="82">
        <f t="shared" si="19"/>
        <v>2.6599999999999999E-2</v>
      </c>
      <c r="AG33" s="82">
        <f t="shared" ref="AG33:AH33" si="20">AG25-AG29</f>
        <v>2.4599999999999997E-2</v>
      </c>
      <c r="AH33" s="82">
        <f t="shared" si="20"/>
        <v>4.3500000000000011E-2</v>
      </c>
      <c r="AI33" s="82">
        <f t="shared" ref="AI33" si="21">AI25-AI29</f>
        <v>6.3600000000000018E-2</v>
      </c>
      <c r="AJ33" s="82">
        <f t="shared" ref="AJ33:AK33" si="22">AJ25-AJ29</f>
        <v>5.6100000000000011E-2</v>
      </c>
      <c r="AK33" s="82">
        <f t="shared" si="22"/>
        <v>5.510000000000001E-2</v>
      </c>
      <c r="AL33" s="82">
        <f t="shared" ref="AL33:AM34" si="23">AL25-AL29</f>
        <v>7.2099999999999997E-2</v>
      </c>
      <c r="AM33" s="82">
        <f t="shared" si="23"/>
        <v>8.4900000000000017E-2</v>
      </c>
      <c r="AN33" s="82">
        <f t="shared" ref="AN33" si="24">AN25-AN29</f>
        <v>8.299999999999999E-2</v>
      </c>
    </row>
    <row r="34" spans="1:40" ht="13" customHeight="1">
      <c r="A34" s="84" t="s">
        <v>398</v>
      </c>
      <c r="B34" s="84" t="s">
        <v>399</v>
      </c>
      <c r="C34" s="82">
        <f t="shared" si="17"/>
        <v>1.0099999999999998E-2</v>
      </c>
      <c r="D34" s="82">
        <f t="shared" si="17"/>
        <v>7.8000000000000014E-3</v>
      </c>
      <c r="E34" s="82">
        <f t="shared" si="17"/>
        <v>7.0999999999999952E-3</v>
      </c>
      <c r="F34" s="82">
        <f t="shared" si="17"/>
        <v>5.4000000000000159E-3</v>
      </c>
      <c r="G34" s="82">
        <f t="shared" si="17"/>
        <v>2.5999999999999912E-3</v>
      </c>
      <c r="H34" s="82">
        <f t="shared" si="17"/>
        <v>7.6800000000000007E-2</v>
      </c>
      <c r="I34" s="82">
        <f t="shared" si="17"/>
        <v>2.7999999999999997E-2</v>
      </c>
      <c r="J34" s="82">
        <f t="shared" si="17"/>
        <v>4.0000000000000036E-3</v>
      </c>
      <c r="K34" s="82">
        <f t="shared" si="17"/>
        <v>1.1499999999999982E-2</v>
      </c>
      <c r="L34" s="82">
        <f t="shared" si="17"/>
        <v>4.0000000000000036E-3</v>
      </c>
      <c r="M34" s="82">
        <f t="shared" si="17"/>
        <v>8.0999999999999961E-3</v>
      </c>
      <c r="N34" s="82">
        <f t="shared" si="17"/>
        <v>1.9600000000000006E-2</v>
      </c>
      <c r="O34" s="82">
        <f t="shared" si="17"/>
        <v>2.545E-2</v>
      </c>
      <c r="P34" s="82">
        <f t="shared" si="17"/>
        <v>2.5549999999999989E-2</v>
      </c>
      <c r="Q34" s="82">
        <f t="shared" si="17"/>
        <v>2.1350000000000008E-2</v>
      </c>
      <c r="R34" s="82">
        <f t="shared" si="17"/>
        <v>2.7249999999999996E-2</v>
      </c>
      <c r="S34" s="82">
        <f t="shared" si="17"/>
        <v>1.6500000000000015E-2</v>
      </c>
      <c r="T34" s="82">
        <f t="shared" si="17"/>
        <v>2.090000000000003E-2</v>
      </c>
      <c r="U34" s="82">
        <f t="shared" si="17"/>
        <v>2.4900000000000005E-2</v>
      </c>
      <c r="V34" s="82">
        <f t="shared" si="17"/>
        <v>2.6999999999999996E-2</v>
      </c>
      <c r="W34" s="82">
        <f t="shared" si="17"/>
        <v>5.0200000000000009E-2</v>
      </c>
      <c r="X34" s="82">
        <f t="shared" si="17"/>
        <v>5.220000000000001E-2</v>
      </c>
      <c r="Y34" s="82">
        <f t="shared" si="17"/>
        <v>4.9099999999999991E-2</v>
      </c>
      <c r="Z34" s="82">
        <f t="shared" si="17"/>
        <v>5.3500000000000006E-2</v>
      </c>
      <c r="AA34" s="82">
        <f t="shared" si="18"/>
        <v>4.7700000000000006E-2</v>
      </c>
      <c r="AB34" s="82">
        <f t="shared" si="18"/>
        <v>4.4499999999999998E-2</v>
      </c>
      <c r="AC34" s="82">
        <f t="shared" si="18"/>
        <v>4.8000000000000001E-2</v>
      </c>
      <c r="AD34" s="82">
        <f t="shared" si="18"/>
        <v>3.6600000000000008E-2</v>
      </c>
      <c r="AE34" s="82">
        <f t="shared" ref="AE34:AF34" si="25">AE26-AE30</f>
        <v>2.5900000000000006E-2</v>
      </c>
      <c r="AF34" s="82">
        <f t="shared" si="25"/>
        <v>2.0199999999999996E-2</v>
      </c>
      <c r="AG34" s="82">
        <f t="shared" ref="AG34:AH34" si="26">AG26-AG30</f>
        <v>1.730000000000001E-2</v>
      </c>
      <c r="AH34" s="82">
        <f t="shared" si="26"/>
        <v>3.5400000000000001E-2</v>
      </c>
      <c r="AI34" s="82">
        <f t="shared" ref="AI34" si="27">AI26-AI30</f>
        <v>5.5800000000000002E-2</v>
      </c>
      <c r="AJ34" s="82">
        <f t="shared" ref="AJ34:AK34" si="28">AJ26-AJ30</f>
        <v>4.7099999999999989E-2</v>
      </c>
      <c r="AK34" s="82">
        <f t="shared" si="28"/>
        <v>4.4600000000000015E-2</v>
      </c>
      <c r="AL34" s="82">
        <f t="shared" ref="AL34" si="29">AL26-AL30</f>
        <v>6.0300000000000006E-2</v>
      </c>
      <c r="AM34" s="82">
        <f t="shared" si="23"/>
        <v>7.1699999999999986E-2</v>
      </c>
      <c r="AN34" s="82">
        <f t="shared" ref="AN34" si="30">AN26-AN30</f>
        <v>6.7900000000000002E-2</v>
      </c>
    </row>
    <row r="35" spans="1:40" ht="13" customHeight="1"/>
    <row r="36" spans="1:40" ht="13" customHeight="1">
      <c r="A36" s="84" t="s">
        <v>404</v>
      </c>
      <c r="B36" s="84" t="s">
        <v>405</v>
      </c>
      <c r="C36" s="84"/>
      <c r="D36" s="84"/>
      <c r="E36" s="84"/>
      <c r="F36" s="84"/>
      <c r="G36" s="84"/>
      <c r="H36" s="84"/>
      <c r="I36" s="84"/>
      <c r="J36" s="84"/>
      <c r="K36" s="86">
        <v>8.0199999999999994E-2</v>
      </c>
      <c r="L36" s="86">
        <v>8.8999999999999996E-2</v>
      </c>
      <c r="M36" s="86">
        <v>8.4400000000000003E-2</v>
      </c>
      <c r="N36" s="86">
        <v>8.1100000000000005E-2</v>
      </c>
      <c r="O36" s="86">
        <v>8.0100000000000005E-2</v>
      </c>
      <c r="P36" s="82">
        <v>8.1699999999999995E-2</v>
      </c>
      <c r="Q36" s="82">
        <v>8.2000000000000003E-2</v>
      </c>
      <c r="R36" s="82">
        <v>8.5800000000000001E-2</v>
      </c>
      <c r="S36" s="82">
        <v>8.0399999999999999E-2</v>
      </c>
      <c r="T36" s="82">
        <v>8.0600000000000005E-2</v>
      </c>
      <c r="U36" s="82">
        <v>8.3099999999999993E-2</v>
      </c>
      <c r="V36" s="82">
        <v>8.3400000000000002E-2</v>
      </c>
      <c r="W36" s="82">
        <v>8.1500000000000003E-2</v>
      </c>
      <c r="X36" s="82">
        <v>7.7799999999999994E-2</v>
      </c>
      <c r="Y36" s="82">
        <v>7.8399999999999997E-2</v>
      </c>
      <c r="Z36" s="82">
        <v>7.9600000000000004E-2</v>
      </c>
      <c r="AA36" s="82">
        <v>7.5300000000000006E-2</v>
      </c>
      <c r="AB36" s="82">
        <v>7.6189770441882784E-2</v>
      </c>
      <c r="AC36" s="82">
        <v>7.9699999999999993E-2</v>
      </c>
      <c r="AD36" s="82">
        <v>7.22E-2</v>
      </c>
      <c r="AE36" s="82">
        <v>7.2900000000000006E-2</v>
      </c>
      <c r="AF36" s="82">
        <v>7.22E-2</v>
      </c>
      <c r="AG36" s="82">
        <v>7.1300000000000002E-2</v>
      </c>
      <c r="AH36" s="82">
        <v>7.2099999999999997E-2</v>
      </c>
      <c r="AI36" s="82">
        <v>8.1900000000000001E-2</v>
      </c>
      <c r="AJ36" s="82">
        <v>7.7299999999999994E-2</v>
      </c>
      <c r="AK36" s="82">
        <v>7.7899999999999997E-2</v>
      </c>
      <c r="AL36" s="82">
        <v>8.6099999999999996E-2</v>
      </c>
      <c r="AM36" s="82">
        <v>9.0700000000000003E-2</v>
      </c>
      <c r="AN36" s="82">
        <v>9.0999999999999998E-2</v>
      </c>
    </row>
    <row r="38" spans="1:40" ht="356.5">
      <c r="AI38" s="153" t="s">
        <v>675</v>
      </c>
      <c r="AM38" s="153"/>
      <c r="AN38" s="153"/>
    </row>
    <row r="39" spans="1:40" ht="207">
      <c r="AI39" s="153" t="s">
        <v>676</v>
      </c>
      <c r="AM39" s="153"/>
      <c r="AN39" s="15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AA11"/>
  <sheetViews>
    <sheetView zoomScaleNormal="100" workbookViewId="0">
      <pane xSplit="2" ySplit="2" topLeftCell="U3" activePane="bottomRight" state="frozen"/>
      <selection sqref="A1:B1048576"/>
      <selection pane="topRight" sqref="A1:B1048576"/>
      <selection pane="bottomLeft" sqref="A1:B1048576"/>
      <selection pane="bottomRight" activeCell="Z12" sqref="Z12"/>
    </sheetView>
  </sheetViews>
  <sheetFormatPr defaultColWidth="8.6640625" defaultRowHeight="11.5"/>
  <cols>
    <col min="1" max="2" width="50.6640625" style="2" customWidth="1"/>
    <col min="3" max="23" width="10.6640625" style="2" customWidth="1"/>
    <col min="24" max="16384" width="8.6640625" style="2"/>
  </cols>
  <sheetData>
    <row r="1" spans="1:27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418</v>
      </c>
      <c r="D1" s="1" t="s">
        <v>465</v>
      </c>
      <c r="E1" s="1" t="s">
        <v>467</v>
      </c>
      <c r="F1" s="1" t="s">
        <v>469</v>
      </c>
      <c r="G1" s="1" t="s">
        <v>422</v>
      </c>
      <c r="H1" s="1" t="s">
        <v>471</v>
      </c>
      <c r="I1" s="1" t="s">
        <v>473</v>
      </c>
      <c r="J1" s="1" t="s">
        <v>475</v>
      </c>
      <c r="K1" s="1" t="s">
        <v>426</v>
      </c>
      <c r="L1" s="1" t="s">
        <v>477</v>
      </c>
      <c r="M1" s="1" t="s">
        <v>479</v>
      </c>
      <c r="N1" s="1" t="s">
        <v>481</v>
      </c>
      <c r="O1" s="1" t="s">
        <v>430</v>
      </c>
      <c r="P1" s="1" t="s">
        <v>483</v>
      </c>
      <c r="Q1" s="1" t="s">
        <v>485</v>
      </c>
      <c r="R1" s="1" t="s">
        <v>487</v>
      </c>
      <c r="S1" s="1" t="s">
        <v>491</v>
      </c>
      <c r="T1" s="1" t="s">
        <v>495</v>
      </c>
      <c r="U1" s="1" t="s">
        <v>524</v>
      </c>
      <c r="V1" s="1" t="s">
        <v>663</v>
      </c>
      <c r="W1" s="1" t="s">
        <v>671</v>
      </c>
      <c r="X1" s="1" t="s">
        <v>679</v>
      </c>
      <c r="Y1" s="1" t="s">
        <v>681</v>
      </c>
      <c r="Z1" s="1" t="s">
        <v>687</v>
      </c>
      <c r="AA1" s="1" t="s">
        <v>695</v>
      </c>
    </row>
    <row r="2" spans="1:27" ht="13" customHeight="1" thickBot="1">
      <c r="A2" s="1" t="s">
        <v>635</v>
      </c>
      <c r="B2" s="1" t="s">
        <v>636</v>
      </c>
      <c r="C2" s="1" t="s">
        <v>445</v>
      </c>
      <c r="D2" s="1" t="s">
        <v>466</v>
      </c>
      <c r="E2" s="1" t="s">
        <v>468</v>
      </c>
      <c r="F2" s="1" t="s">
        <v>470</v>
      </c>
      <c r="G2" s="1" t="s">
        <v>449</v>
      </c>
      <c r="H2" s="1" t="s">
        <v>472</v>
      </c>
      <c r="I2" s="1" t="s">
        <v>474</v>
      </c>
      <c r="J2" s="1" t="s">
        <v>476</v>
      </c>
      <c r="K2" s="1" t="s">
        <v>453</v>
      </c>
      <c r="L2" s="1" t="s">
        <v>478</v>
      </c>
      <c r="M2" s="1" t="s">
        <v>480</v>
      </c>
      <c r="N2" s="1" t="s">
        <v>482</v>
      </c>
      <c r="O2" s="1" t="s">
        <v>457</v>
      </c>
      <c r="P2" s="1" t="s">
        <v>484</v>
      </c>
      <c r="Q2" s="1" t="s">
        <v>486</v>
      </c>
      <c r="R2" s="1" t="s">
        <v>488</v>
      </c>
      <c r="S2" s="1" t="s">
        <v>492</v>
      </c>
      <c r="T2" s="1" t="s">
        <v>496</v>
      </c>
      <c r="U2" s="1" t="s">
        <v>525</v>
      </c>
      <c r="V2" s="1" t="s">
        <v>664</v>
      </c>
      <c r="W2" s="1" t="s">
        <v>672</v>
      </c>
      <c r="X2" s="1" t="s">
        <v>680</v>
      </c>
      <c r="Y2" s="1" t="s">
        <v>682</v>
      </c>
      <c r="Z2" s="1" t="s">
        <v>688</v>
      </c>
      <c r="AA2" s="1" t="s">
        <v>696</v>
      </c>
    </row>
    <row r="3" spans="1:27" ht="13" customHeight="1">
      <c r="A3" s="84" t="s">
        <v>548</v>
      </c>
      <c r="B3" s="84" t="s">
        <v>548</v>
      </c>
      <c r="C3" s="82">
        <v>0.108</v>
      </c>
      <c r="D3" s="82">
        <v>0.121</v>
      </c>
      <c r="E3" s="82">
        <v>0.1187</v>
      </c>
      <c r="F3" s="82">
        <v>0.11751902899316036</v>
      </c>
      <c r="G3" s="82">
        <v>6.4000000000000001E-2</v>
      </c>
      <c r="H3" s="82">
        <v>4.8399999999999999E-2</v>
      </c>
      <c r="I3" s="82">
        <v>5.5E-2</v>
      </c>
      <c r="J3" s="82">
        <v>3.7600674716151104E-2</v>
      </c>
      <c r="K3" s="82">
        <v>4.2999999999999997E-2</v>
      </c>
      <c r="L3" s="82">
        <v>-0.15759999999999999</v>
      </c>
      <c r="M3" s="82">
        <v>-8.7300000000000003E-2</v>
      </c>
      <c r="N3" s="82">
        <v>-4.6812619717123527E-2</v>
      </c>
      <c r="O3" s="82">
        <v>6.6900000000000001E-2</v>
      </c>
      <c r="P3" s="82">
        <v>7.0999999999999994E-2</v>
      </c>
      <c r="Q3" s="82">
        <v>7.8E-2</v>
      </c>
      <c r="R3" s="82">
        <v>7.7238972581026188E-2</v>
      </c>
      <c r="S3" s="82">
        <v>0.11899999999999999</v>
      </c>
      <c r="T3" s="82">
        <v>0.13800000000000001</v>
      </c>
      <c r="U3" s="82">
        <v>7.5999999999999998E-2</v>
      </c>
      <c r="V3" s="82">
        <v>0.11301302242761993</v>
      </c>
      <c r="W3" s="152">
        <v>0.22700000000000001</v>
      </c>
      <c r="X3" s="152">
        <v>0.254</v>
      </c>
      <c r="Y3" s="152">
        <v>0.26200000000000001</v>
      </c>
      <c r="Z3" s="152">
        <v>0.26300000000000001</v>
      </c>
      <c r="AA3" s="152">
        <v>0.24399999999999999</v>
      </c>
    </row>
    <row r="4" spans="1:27" ht="13" customHeight="1">
      <c r="A4" s="84" t="s">
        <v>549</v>
      </c>
      <c r="B4" s="84" t="s">
        <v>549</v>
      </c>
      <c r="C4" s="82">
        <v>8.9999999999999993E-3</v>
      </c>
      <c r="D4" s="82">
        <v>1.03E-2</v>
      </c>
      <c r="E4" s="82">
        <v>1.0200000000000001E-2</v>
      </c>
      <c r="F4" s="82">
        <v>1.0041524839188057E-2</v>
      </c>
      <c r="G4" s="82">
        <v>6.0000000000000001E-3</v>
      </c>
      <c r="H4" s="82">
        <v>4.1999999999999997E-3</v>
      </c>
      <c r="I4" s="82">
        <v>4.7999999999999996E-3</v>
      </c>
      <c r="J4" s="82">
        <v>3.3078225667081715E-3</v>
      </c>
      <c r="K4" s="82">
        <v>4.0000000000000001E-3</v>
      </c>
      <c r="L4" s="82">
        <v>-1.34E-2</v>
      </c>
      <c r="M4" s="82">
        <v>-7.4999999999999997E-3</v>
      </c>
      <c r="N4" s="82">
        <v>-4.0067028171890621E-3</v>
      </c>
      <c r="O4" s="82">
        <v>5.4999999999999997E-3</v>
      </c>
      <c r="P4" s="82">
        <v>6.0000000000000001E-3</v>
      </c>
      <c r="Q4" s="82">
        <v>7.0000000000000001E-3</v>
      </c>
      <c r="R4" s="82">
        <v>5.9610835037557331E-3</v>
      </c>
      <c r="S4" s="82">
        <v>8.0000000000000002E-3</v>
      </c>
      <c r="T4" s="82">
        <v>8.9999999999999993E-3</v>
      </c>
      <c r="U4" s="82">
        <v>5.0000000000000001E-3</v>
      </c>
      <c r="V4" s="82">
        <v>8.2339461849225571E-3</v>
      </c>
      <c r="W4" s="152">
        <v>1.7999999999999999E-2</v>
      </c>
      <c r="X4" s="152">
        <v>2.1000000000000001E-2</v>
      </c>
      <c r="Y4" s="152">
        <v>2.3E-2</v>
      </c>
      <c r="Z4" s="152">
        <v>2.3E-2</v>
      </c>
      <c r="AA4" s="152">
        <v>2.5999999999999999E-2</v>
      </c>
    </row>
    <row r="5" spans="1:27" ht="13" customHeight="1">
      <c r="A5" s="84" t="s">
        <v>550</v>
      </c>
      <c r="B5" s="84" t="s">
        <v>550</v>
      </c>
      <c r="C5" s="82">
        <v>0.47299999999999998</v>
      </c>
      <c r="D5" s="82">
        <v>0.45150000000000001</v>
      </c>
      <c r="E5" s="82">
        <v>0.44069999999999998</v>
      </c>
      <c r="F5" s="82">
        <v>0.43104079863503098</v>
      </c>
      <c r="G5" s="82">
        <v>0.499</v>
      </c>
      <c r="H5" s="82">
        <v>0.44569999999999999</v>
      </c>
      <c r="I5" s="82">
        <v>0.42749999999999999</v>
      </c>
      <c r="J5" s="82">
        <v>0.43023680253628199</v>
      </c>
      <c r="K5" s="82">
        <v>0.50600000000000001</v>
      </c>
      <c r="L5" s="82">
        <v>0.50339999999999996</v>
      </c>
      <c r="M5" s="82">
        <v>0.48759999999999998</v>
      </c>
      <c r="N5" s="82">
        <v>0.469478672611499</v>
      </c>
      <c r="O5" s="82">
        <v>0.46889999999999998</v>
      </c>
      <c r="P5" s="82">
        <v>0.44700000000000001</v>
      </c>
      <c r="Q5" s="82">
        <v>0.44</v>
      </c>
      <c r="R5" s="82">
        <v>0.43510897767767398</v>
      </c>
      <c r="S5" s="82">
        <v>0.45100000000000001</v>
      </c>
      <c r="T5" s="82">
        <v>0.47299999999999998</v>
      </c>
      <c r="U5" s="82">
        <v>0.504</v>
      </c>
      <c r="V5" s="82">
        <v>0.455887706235583</v>
      </c>
      <c r="W5" s="152">
        <v>0.38100000000000001</v>
      </c>
      <c r="X5" s="152">
        <v>0.36699999999999999</v>
      </c>
      <c r="Y5" s="152">
        <v>0.35499999999999998</v>
      </c>
      <c r="Z5" s="152">
        <v>0.35099999999999998</v>
      </c>
      <c r="AA5" s="152">
        <v>0.36399999999999999</v>
      </c>
    </row>
    <row r="6" spans="1:27" ht="13" customHeight="1">
      <c r="A6" s="84" t="s">
        <v>551</v>
      </c>
      <c r="B6" s="84" t="s">
        <v>551</v>
      </c>
      <c r="C6" s="82">
        <v>1.7914706999920999E-2</v>
      </c>
      <c r="D6" s="82">
        <v>1.74401374895275E-2</v>
      </c>
      <c r="E6" s="82">
        <v>1.7943539212518098E-2</v>
      </c>
      <c r="F6" s="82">
        <v>1.85196820912042E-2</v>
      </c>
      <c r="G6" s="82">
        <v>1.85813511711088E-2</v>
      </c>
      <c r="H6" s="82">
        <v>2.58759290504363E-2</v>
      </c>
      <c r="I6" s="82">
        <v>2.4309002416464401E-2</v>
      </c>
      <c r="J6" s="82">
        <v>2.39147965379908E-2</v>
      </c>
      <c r="K6" s="82">
        <v>1.9300000000000001E-2</v>
      </c>
      <c r="L6" s="82">
        <v>3.9600000000000003E-2</v>
      </c>
      <c r="M6" s="82">
        <v>3.2399999999999998E-2</v>
      </c>
      <c r="N6" s="82">
        <v>2.8014454633803299E-2</v>
      </c>
      <c r="O6" s="82">
        <v>1.5900000000000001E-2</v>
      </c>
      <c r="P6" s="82">
        <v>1.6400000000000001E-2</v>
      </c>
      <c r="Q6" s="82">
        <v>1.61E-2</v>
      </c>
      <c r="R6" s="82">
        <v>1.59736417448571E-2</v>
      </c>
      <c r="S6" s="82">
        <v>1.3299999999999999E-2</v>
      </c>
      <c r="T6" s="82">
        <v>1.3899999999999999E-2</v>
      </c>
      <c r="U6" s="82">
        <v>1.47E-2</v>
      </c>
      <c r="V6" s="82">
        <v>1.51175557828401E-2</v>
      </c>
      <c r="W6" s="82">
        <v>1.61E-2</v>
      </c>
      <c r="X6" s="82">
        <v>1.2800000000000001E-2</v>
      </c>
      <c r="Y6" s="82">
        <v>1.1599999999999999E-2</v>
      </c>
      <c r="Z6" s="82">
        <v>9.7999999999999997E-3</v>
      </c>
      <c r="AA6" s="82">
        <v>6.7999999999999996E-3</v>
      </c>
    </row>
    <row r="7" spans="1:27" ht="13" customHeight="1">
      <c r="A7" s="84" t="s">
        <v>552</v>
      </c>
      <c r="B7" s="84" t="s">
        <v>552</v>
      </c>
      <c r="C7" s="82">
        <v>0.873</v>
      </c>
      <c r="D7" s="82">
        <v>0.87909999999999999</v>
      </c>
      <c r="E7" s="82">
        <v>0.88619999999999999</v>
      </c>
      <c r="F7" s="82">
        <v>0.86849263925372044</v>
      </c>
      <c r="G7" s="82">
        <v>0.88900000000000001</v>
      </c>
      <c r="H7" s="82">
        <v>0.87329999999999997</v>
      </c>
      <c r="I7" s="82">
        <v>0.87560000000000004</v>
      </c>
      <c r="J7" s="82">
        <v>0.85915628668936062</v>
      </c>
      <c r="K7" s="82">
        <v>0.875</v>
      </c>
      <c r="L7" s="82">
        <v>0.84570000000000001</v>
      </c>
      <c r="M7" s="82">
        <v>0.85009999999999997</v>
      </c>
      <c r="N7" s="82">
        <v>0.84059304048018368</v>
      </c>
      <c r="O7" s="82">
        <v>0.82</v>
      </c>
      <c r="P7" s="82">
        <v>0.84099999999999997</v>
      </c>
      <c r="Q7" s="82">
        <v>0.86399999999999999</v>
      </c>
      <c r="R7" s="82">
        <v>0.8086605070167</v>
      </c>
      <c r="S7" s="82">
        <v>0.82199999999999995</v>
      </c>
      <c r="T7" s="82">
        <v>0.82399999999999995</v>
      </c>
      <c r="U7" s="82">
        <v>0.80800000000000005</v>
      </c>
      <c r="V7" s="82">
        <v>0.81396543322545101</v>
      </c>
      <c r="W7" s="152">
        <v>0.80400000000000005</v>
      </c>
      <c r="X7" s="152">
        <v>0.82599999999999996</v>
      </c>
      <c r="Y7" s="152">
        <v>0.82299999999999995</v>
      </c>
      <c r="Z7" s="152">
        <v>0.81100000000000005</v>
      </c>
      <c r="AA7" s="152">
        <v>0.81499999999999995</v>
      </c>
    </row>
    <row r="8" spans="1:27" ht="13" customHeight="1">
      <c r="A8" s="84" t="s">
        <v>553</v>
      </c>
      <c r="B8" s="84" t="s">
        <v>553</v>
      </c>
      <c r="C8" s="82">
        <v>0.107</v>
      </c>
      <c r="D8" s="82">
        <v>0.108</v>
      </c>
      <c r="E8" s="82">
        <v>0.1109</v>
      </c>
      <c r="F8" s="141" t="s">
        <v>97</v>
      </c>
      <c r="G8" s="82">
        <v>0.114</v>
      </c>
      <c r="H8" s="82">
        <v>0.12239999999999999</v>
      </c>
      <c r="I8" s="82">
        <v>0.1255</v>
      </c>
      <c r="J8" s="141" t="s">
        <v>97</v>
      </c>
      <c r="K8" s="82">
        <v>0.13700000000000001</v>
      </c>
      <c r="L8" s="82">
        <v>0.1366</v>
      </c>
      <c r="M8" s="82">
        <v>0.1515</v>
      </c>
      <c r="N8" s="82">
        <v>0.14480000000000001</v>
      </c>
      <c r="O8" s="82">
        <v>0.1381</v>
      </c>
      <c r="P8" s="82">
        <v>0.12959999999999999</v>
      </c>
      <c r="Q8" s="82">
        <v>0.1275</v>
      </c>
      <c r="R8" s="82">
        <v>0.1177</v>
      </c>
      <c r="S8" s="82">
        <v>0.11310000000000001</v>
      </c>
      <c r="T8" s="82">
        <v>0.107</v>
      </c>
      <c r="U8" s="82">
        <v>0.10979999999999999</v>
      </c>
      <c r="V8" s="82">
        <v>9.8000000000000004E-2</v>
      </c>
      <c r="W8" s="82">
        <v>9.8000000000000004E-2</v>
      </c>
      <c r="X8" s="82">
        <v>9.4500000000000001E-2</v>
      </c>
      <c r="Y8" s="82">
        <v>9.3899999999999997E-2</v>
      </c>
      <c r="Z8" s="82">
        <v>8.5800000000000001E-2</v>
      </c>
      <c r="AA8" s="82">
        <v>7.6499999999999999E-2</v>
      </c>
    </row>
    <row r="9" spans="1:27" ht="13" customHeight="1">
      <c r="A9" s="84" t="s">
        <v>554</v>
      </c>
      <c r="B9" s="84" t="s">
        <v>557</v>
      </c>
      <c r="C9" s="82">
        <v>0.53300000000000003</v>
      </c>
      <c r="D9" s="82">
        <v>0.51</v>
      </c>
      <c r="E9" s="82">
        <v>0.5292</v>
      </c>
      <c r="F9" s="141" t="s">
        <v>97</v>
      </c>
      <c r="G9" s="82">
        <v>0.54500000000000004</v>
      </c>
      <c r="H9" s="82">
        <v>0.54479999999999995</v>
      </c>
      <c r="I9" s="82">
        <v>0.55530000000000002</v>
      </c>
      <c r="J9" s="141" t="s">
        <v>97</v>
      </c>
      <c r="K9" s="82">
        <v>0.53300000000000003</v>
      </c>
      <c r="L9" s="82">
        <v>0.56459999999999999</v>
      </c>
      <c r="M9" s="82">
        <v>0.53549999999999998</v>
      </c>
      <c r="N9" s="82">
        <v>0.55179999999999996</v>
      </c>
      <c r="O9" s="82">
        <v>0.54449999999999998</v>
      </c>
      <c r="P9" s="82">
        <v>0.54869999999999997</v>
      </c>
      <c r="Q9" s="82">
        <v>0.55869999999999997</v>
      </c>
      <c r="R9" s="82">
        <v>0.55920000000000003</v>
      </c>
      <c r="S9" s="82">
        <v>0.5625</v>
      </c>
      <c r="T9" s="82">
        <v>0.55810000000000004</v>
      </c>
      <c r="U9" s="82">
        <v>0.57269999999999999</v>
      </c>
      <c r="V9" s="82">
        <v>0.53669999999999995</v>
      </c>
      <c r="W9" s="82">
        <v>0.53649999999999998</v>
      </c>
      <c r="X9" s="82">
        <v>0.53080000000000005</v>
      </c>
      <c r="Y9" s="82">
        <v>0.54139999999999999</v>
      </c>
      <c r="Z9" s="82">
        <v>0.54</v>
      </c>
      <c r="AA9" s="82">
        <v>0.51200000000000001</v>
      </c>
    </row>
    <row r="10" spans="1:27" ht="13" customHeight="1">
      <c r="A10" s="84" t="s">
        <v>555</v>
      </c>
      <c r="B10" s="84" t="s">
        <v>555</v>
      </c>
      <c r="C10" s="82">
        <f>CRR!O26</f>
        <v>0.1542</v>
      </c>
      <c r="D10" s="82">
        <f>CRR!P26</f>
        <v>0.15429999999999999</v>
      </c>
      <c r="E10" s="82">
        <f>CRR!Q26</f>
        <v>0.15260000000000001</v>
      </c>
      <c r="F10" s="82">
        <f>CRR!R26</f>
        <v>0.1585</v>
      </c>
      <c r="G10" s="82">
        <f>CRR!S26</f>
        <v>0.154</v>
      </c>
      <c r="H10" s="82">
        <f>CRR!T26</f>
        <v>0.15840000000000001</v>
      </c>
      <c r="I10" s="82">
        <f>CRR!U26</f>
        <v>0.16239999999999999</v>
      </c>
      <c r="J10" s="82">
        <f>CRR!V26</f>
        <v>0.16200000000000001</v>
      </c>
      <c r="K10" s="82">
        <f>CRR!W26</f>
        <v>0.1552</v>
      </c>
      <c r="L10" s="82">
        <f>CRR!X26</f>
        <v>0.15720000000000001</v>
      </c>
      <c r="M10" s="82">
        <f>CRR!Y26</f>
        <v>0.15409999999999999</v>
      </c>
      <c r="N10" s="82">
        <f>CRR!Z26</f>
        <v>0.1585</v>
      </c>
      <c r="O10" s="82">
        <f>CRR!AA26</f>
        <v>0.1527</v>
      </c>
      <c r="P10" s="82">
        <f>CRR!AB26</f>
        <v>0.14949999999999999</v>
      </c>
      <c r="Q10" s="82">
        <f>CRR!AC26</f>
        <v>0.153</v>
      </c>
      <c r="R10" s="82">
        <f>CRR!AD26</f>
        <v>0.1416</v>
      </c>
      <c r="S10" s="82">
        <f>CRR!AE26</f>
        <v>0.14560000000000001</v>
      </c>
      <c r="T10" s="82">
        <f>CRR!AF26</f>
        <v>0.1399</v>
      </c>
      <c r="U10" s="82">
        <f>CRR!AG26</f>
        <v>0.13700000000000001</v>
      </c>
      <c r="V10" s="82">
        <f>CRR!AH26</f>
        <v>0.1419</v>
      </c>
      <c r="W10" s="82">
        <v>0.15359999999999999</v>
      </c>
      <c r="X10" s="82">
        <v>0.15110000000000001</v>
      </c>
      <c r="Y10" s="82">
        <v>0.1668</v>
      </c>
      <c r="Z10" s="82">
        <v>0.17829999999999999</v>
      </c>
      <c r="AA10" s="82">
        <v>0.17460000000000001</v>
      </c>
    </row>
    <row r="11" spans="1:27" ht="13" customHeight="1">
      <c r="A11" s="84" t="s">
        <v>556</v>
      </c>
      <c r="B11" s="84" t="s">
        <v>556</v>
      </c>
      <c r="C11" s="82">
        <f>CRR!O25</f>
        <v>0.12089999999999999</v>
      </c>
      <c r="D11" s="82">
        <f>CRR!P25</f>
        <v>0.122</v>
      </c>
      <c r="E11" s="82">
        <f>CRR!Q25</f>
        <v>0.12139999999999999</v>
      </c>
      <c r="F11" s="82">
        <f>CRR!R25</f>
        <v>0.12809999999999999</v>
      </c>
      <c r="G11" s="82">
        <f>CRR!S25</f>
        <v>0.1242</v>
      </c>
      <c r="H11" s="82">
        <f>CRR!T25</f>
        <v>0.12920000000000001</v>
      </c>
      <c r="I11" s="82">
        <f>CRR!U25</f>
        <v>0.13370000000000001</v>
      </c>
      <c r="J11" s="82">
        <f>CRR!V25</f>
        <v>0.1348</v>
      </c>
      <c r="K11" s="82">
        <f>CRR!W25</f>
        <v>0.12939999999999999</v>
      </c>
      <c r="L11" s="82">
        <f>CRR!X25</f>
        <v>0.13139999999999999</v>
      </c>
      <c r="M11" s="82">
        <f>CRR!Y25</f>
        <v>0.1298</v>
      </c>
      <c r="N11" s="82">
        <f>CRR!Z25</f>
        <v>0.13550000000000001</v>
      </c>
      <c r="O11" s="82">
        <f>CRR!AA25</f>
        <v>0.13139999999999999</v>
      </c>
      <c r="P11" s="82">
        <f>CRR!AB25</f>
        <v>0.12989999999999999</v>
      </c>
      <c r="Q11" s="82">
        <f>CRR!AC25</f>
        <v>0.1348</v>
      </c>
      <c r="R11" s="82">
        <f>CRR!AD25</f>
        <v>0.1255</v>
      </c>
      <c r="S11" s="82">
        <f>CRR!AE25</f>
        <v>0.13059999999999999</v>
      </c>
      <c r="T11" s="82">
        <f>CRR!AF25</f>
        <v>0.1263</v>
      </c>
      <c r="U11" s="82">
        <f>CRR!AG25</f>
        <v>0.12429999999999999</v>
      </c>
      <c r="V11" s="82">
        <f>CRR!AH25</f>
        <v>0.13</v>
      </c>
      <c r="W11" s="82">
        <v>0.1426</v>
      </c>
      <c r="X11" s="82">
        <v>0.1416</v>
      </c>
      <c r="Y11" s="82">
        <v>0.15859999999999999</v>
      </c>
      <c r="Z11" s="82">
        <v>0.17150000000000001</v>
      </c>
      <c r="AA11" s="82">
        <v>0.16969999999999999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M58"/>
  <sheetViews>
    <sheetView topLeftCell="A39" zoomScaleNormal="100" workbookViewId="0">
      <pane xSplit="2" topLeftCell="AI1" activePane="topRight" state="frozen"/>
      <selection sqref="A1:B1048576"/>
      <selection pane="topRight" activeCell="AN33" sqref="AN33"/>
    </sheetView>
  </sheetViews>
  <sheetFormatPr defaultColWidth="9.33203125" defaultRowHeight="11.5"/>
  <cols>
    <col min="1" max="2" width="50.6640625" style="2" customWidth="1"/>
    <col min="3" max="26" width="10.6640625" style="9" customWidth="1"/>
    <col min="27" max="27" width="10.6640625" style="19" customWidth="1"/>
    <col min="28" max="36" width="10.6640625" style="2" customWidth="1"/>
    <col min="37" max="16384" width="9.332031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</row>
    <row r="2" spans="1:39" ht="13" customHeight="1" thickBot="1">
      <c r="A2" s="1" t="s">
        <v>157</v>
      </c>
      <c r="B2" s="1" t="s">
        <v>35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</row>
    <row r="3" spans="1:39" ht="13" customHeight="1">
      <c r="A3" s="5" t="s">
        <v>316</v>
      </c>
      <c r="B3" s="5" t="s">
        <v>317</v>
      </c>
      <c r="C3" s="6">
        <v>1377659</v>
      </c>
      <c r="D3" s="7">
        <v>1814603</v>
      </c>
      <c r="E3" s="6">
        <v>1347956</v>
      </c>
      <c r="F3" s="7">
        <v>1750135</v>
      </c>
      <c r="G3" s="6">
        <v>665782</v>
      </c>
      <c r="H3" s="7">
        <v>725871</v>
      </c>
      <c r="I3" s="6">
        <v>1285370</v>
      </c>
      <c r="J3" s="7">
        <v>1082991</v>
      </c>
      <c r="K3" s="6">
        <v>1781276</v>
      </c>
      <c r="L3" s="7">
        <v>2377158</v>
      </c>
      <c r="M3" s="6">
        <v>1780022</v>
      </c>
      <c r="N3" s="7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4">
        <v>1379127</v>
      </c>
      <c r="W3" s="7">
        <v>1960949</v>
      </c>
      <c r="X3" s="14">
        <v>1128515</v>
      </c>
      <c r="Y3" s="7">
        <v>1636919</v>
      </c>
      <c r="Z3" s="14">
        <v>2459901</v>
      </c>
      <c r="AA3" s="7">
        <v>2163566</v>
      </c>
      <c r="AB3" s="8">
        <v>1566372</v>
      </c>
      <c r="AC3" s="75">
        <v>1645316</v>
      </c>
      <c r="AD3" s="8">
        <v>3763391</v>
      </c>
      <c r="AE3" s="75">
        <v>4989857</v>
      </c>
      <c r="AF3" s="8">
        <v>4940224</v>
      </c>
      <c r="AG3" s="75">
        <v>5428940</v>
      </c>
      <c r="AH3" s="8">
        <v>2584143</v>
      </c>
      <c r="AI3" s="75">
        <v>4578041</v>
      </c>
      <c r="AJ3" s="8">
        <v>3167601</v>
      </c>
      <c r="AK3" s="75">
        <v>3819907</v>
      </c>
      <c r="AL3" s="8">
        <v>2539259</v>
      </c>
      <c r="AM3" s="75">
        <v>2180177</v>
      </c>
    </row>
    <row r="4" spans="1:39" ht="13" customHeight="1" thickBot="1">
      <c r="A4" s="5" t="s">
        <v>152</v>
      </c>
      <c r="B4" s="5" t="s">
        <v>18</v>
      </c>
      <c r="C4" s="6">
        <v>319822</v>
      </c>
      <c r="D4" s="7">
        <v>502779</v>
      </c>
      <c r="E4" s="6">
        <v>372122</v>
      </c>
      <c r="F4" s="7">
        <v>645329</v>
      </c>
      <c r="G4" s="6">
        <v>523603</v>
      </c>
      <c r="H4" s="7">
        <v>1336745</v>
      </c>
      <c r="I4" s="6">
        <v>656068</v>
      </c>
      <c r="J4" s="7">
        <v>1366316</v>
      </c>
      <c r="K4" s="6">
        <v>516907</v>
      </c>
      <c r="L4" s="7">
        <v>737342</v>
      </c>
      <c r="M4" s="6">
        <v>890442</v>
      </c>
      <c r="N4" s="7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4">
        <v>212885</v>
      </c>
      <c r="W4" s="7">
        <v>276081</v>
      </c>
      <c r="X4" s="14">
        <v>290545</v>
      </c>
      <c r="Y4" s="7">
        <v>330542</v>
      </c>
      <c r="Z4" s="14">
        <v>508371</v>
      </c>
      <c r="AA4" s="7">
        <v>400453</v>
      </c>
      <c r="AB4" s="8">
        <v>607334</v>
      </c>
      <c r="AC4" s="75">
        <v>629025</v>
      </c>
      <c r="AD4" s="8">
        <v>1689779</v>
      </c>
      <c r="AE4" s="75">
        <v>2244628</v>
      </c>
      <c r="AF4" s="8">
        <v>2874190</v>
      </c>
      <c r="AG4" s="75">
        <v>2605751</v>
      </c>
      <c r="AH4" s="8">
        <v>2373663</v>
      </c>
      <c r="AI4" s="75">
        <v>1766612</v>
      </c>
      <c r="AJ4" s="8">
        <v>1452772</v>
      </c>
      <c r="AK4" s="75">
        <v>1083636</v>
      </c>
      <c r="AL4" s="8">
        <v>4615420</v>
      </c>
      <c r="AM4" s="75">
        <v>1516379</v>
      </c>
    </row>
    <row r="5" spans="1:39" ht="13" customHeight="1" thickBot="1">
      <c r="A5" s="5" t="s">
        <v>497</v>
      </c>
      <c r="B5" s="5" t="s">
        <v>498</v>
      </c>
      <c r="C5" s="6">
        <v>3019245</v>
      </c>
      <c r="D5" s="10">
        <v>3141181</v>
      </c>
      <c r="E5" s="6">
        <v>4380961</v>
      </c>
      <c r="F5" s="7">
        <v>4643688</v>
      </c>
      <c r="G5" s="6">
        <v>6367885</v>
      </c>
      <c r="H5" s="7">
        <v>8907419</v>
      </c>
      <c r="I5" s="6">
        <v>5704417</v>
      </c>
      <c r="J5" s="7">
        <v>9796151</v>
      </c>
      <c r="K5" s="6">
        <v>6904986</v>
      </c>
      <c r="L5" s="7">
        <v>6890257</v>
      </c>
      <c r="M5" s="6">
        <v>9360812</v>
      </c>
      <c r="N5" s="7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74">
        <v>15798674</v>
      </c>
      <c r="W5" s="7">
        <f>SUM(W6:W8)</f>
        <v>14197506</v>
      </c>
      <c r="X5" s="74">
        <v>16756828</v>
      </c>
      <c r="Y5" s="7">
        <v>15062147</v>
      </c>
      <c r="Z5" s="74">
        <v>15744672</v>
      </c>
      <c r="AA5" s="7">
        <v>17367267</v>
      </c>
      <c r="AB5" s="6">
        <v>16507815</v>
      </c>
      <c r="AC5" s="76">
        <v>14472487</v>
      </c>
      <c r="AD5" s="6">
        <v>16099658</v>
      </c>
      <c r="AE5" s="76">
        <v>12325102</v>
      </c>
      <c r="AF5" s="6">
        <v>12571158</v>
      </c>
      <c r="AG5" s="76">
        <v>14035276</v>
      </c>
      <c r="AH5" s="6">
        <f t="shared" ref="AH5:AM5" si="0">AH6+AH7+AH8</f>
        <v>17015100</v>
      </c>
      <c r="AI5" s="76">
        <f t="shared" si="0"/>
        <v>16815362</v>
      </c>
      <c r="AJ5" s="6">
        <f t="shared" si="0"/>
        <v>17203728</v>
      </c>
      <c r="AK5" s="76">
        <f t="shared" si="0"/>
        <v>18295353</v>
      </c>
      <c r="AL5" s="6">
        <f t="shared" si="0"/>
        <v>18820432</v>
      </c>
      <c r="AM5" s="76">
        <f t="shared" si="0"/>
        <v>22100752</v>
      </c>
    </row>
    <row r="6" spans="1:39" ht="13" customHeight="1">
      <c r="A6" s="5" t="s">
        <v>154</v>
      </c>
      <c r="B6" s="5" t="s">
        <v>38</v>
      </c>
      <c r="C6" s="8" t="s">
        <v>97</v>
      </c>
      <c r="D6" s="11" t="s">
        <v>97</v>
      </c>
      <c r="E6" s="8" t="s">
        <v>97</v>
      </c>
      <c r="F6" s="11" t="s">
        <v>97</v>
      </c>
      <c r="G6" s="8" t="s">
        <v>97</v>
      </c>
      <c r="H6" s="11" t="s">
        <v>97</v>
      </c>
      <c r="I6" s="8" t="s">
        <v>97</v>
      </c>
      <c r="J6" s="11" t="s">
        <v>97</v>
      </c>
      <c r="K6" s="8" t="s">
        <v>97</v>
      </c>
      <c r="L6" s="11" t="s">
        <v>97</v>
      </c>
      <c r="M6" s="8" t="s">
        <v>97</v>
      </c>
      <c r="N6" s="11" t="s">
        <v>97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74">
        <v>10438695</v>
      </c>
      <c r="W6" s="7">
        <v>9123148</v>
      </c>
      <c r="X6" s="74">
        <v>9100632</v>
      </c>
      <c r="Y6" s="7">
        <v>5813075</v>
      </c>
      <c r="Z6" s="74">
        <v>6983904</v>
      </c>
      <c r="AA6" s="7">
        <v>8957455</v>
      </c>
      <c r="AB6" s="6">
        <v>8738837</v>
      </c>
      <c r="AC6" s="76">
        <v>7384497</v>
      </c>
      <c r="AD6" s="6">
        <v>9265445</v>
      </c>
      <c r="AE6" s="76">
        <v>7195661</v>
      </c>
      <c r="AF6" s="6">
        <v>7488436</v>
      </c>
      <c r="AG6" s="76">
        <v>8307663</v>
      </c>
      <c r="AH6" s="6">
        <v>9895998</v>
      </c>
      <c r="AI6" s="76">
        <v>11928512</v>
      </c>
      <c r="AJ6" s="6">
        <v>12534412</v>
      </c>
      <c r="AK6" s="76">
        <v>14307521</v>
      </c>
      <c r="AL6" s="6">
        <v>15471615</v>
      </c>
      <c r="AM6" s="76">
        <v>19942958</v>
      </c>
    </row>
    <row r="7" spans="1:39" ht="13" customHeight="1">
      <c r="A7" s="5" t="s">
        <v>155</v>
      </c>
      <c r="B7" s="5" t="s">
        <v>39</v>
      </c>
      <c r="C7" s="8" t="s">
        <v>97</v>
      </c>
      <c r="D7" s="11" t="s">
        <v>97</v>
      </c>
      <c r="E7" s="8" t="s">
        <v>97</v>
      </c>
      <c r="F7" s="11" t="s">
        <v>97</v>
      </c>
      <c r="G7" s="8" t="s">
        <v>97</v>
      </c>
      <c r="H7" s="11" t="s">
        <v>97</v>
      </c>
      <c r="I7" s="8" t="s">
        <v>97</v>
      </c>
      <c r="J7" s="11" t="s">
        <v>97</v>
      </c>
      <c r="K7" s="8" t="s">
        <v>97</v>
      </c>
      <c r="L7" s="11" t="s">
        <v>97</v>
      </c>
      <c r="M7" s="8" t="s">
        <v>97</v>
      </c>
      <c r="N7" s="11" t="s">
        <v>97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74">
        <v>543925</v>
      </c>
      <c r="W7" s="7">
        <v>631166</v>
      </c>
      <c r="X7" s="74">
        <v>517728</v>
      </c>
      <c r="Y7" s="7">
        <v>729604</v>
      </c>
      <c r="Z7" s="74">
        <v>594926</v>
      </c>
      <c r="AA7" s="7">
        <v>474097</v>
      </c>
      <c r="AB7" s="6">
        <v>399555</v>
      </c>
      <c r="AC7" s="76">
        <v>373762</v>
      </c>
      <c r="AD7" s="6">
        <v>382900</v>
      </c>
      <c r="AE7" s="76">
        <v>669954</v>
      </c>
      <c r="AF7" s="6">
        <v>585415</v>
      </c>
      <c r="AG7" s="76">
        <v>626479</v>
      </c>
      <c r="AH7" s="6">
        <v>437260</v>
      </c>
      <c r="AI7" s="76">
        <v>367734</v>
      </c>
      <c r="AJ7" s="6">
        <v>443725</v>
      </c>
      <c r="AK7" s="76">
        <v>414553</v>
      </c>
      <c r="AL7" s="6">
        <v>423139</v>
      </c>
      <c r="AM7" s="76">
        <v>333442</v>
      </c>
    </row>
    <row r="8" spans="1:39" ht="13" customHeight="1">
      <c r="A8" s="5" t="s">
        <v>156</v>
      </c>
      <c r="B8" s="5" t="s">
        <v>40</v>
      </c>
      <c r="C8" s="8" t="s">
        <v>97</v>
      </c>
      <c r="D8" s="11" t="s">
        <v>97</v>
      </c>
      <c r="E8" s="8" t="s">
        <v>97</v>
      </c>
      <c r="F8" s="11" t="s">
        <v>97</v>
      </c>
      <c r="G8" s="8" t="s">
        <v>97</v>
      </c>
      <c r="H8" s="11" t="s">
        <v>97</v>
      </c>
      <c r="I8" s="8" t="s">
        <v>97</v>
      </c>
      <c r="J8" s="11" t="s">
        <v>97</v>
      </c>
      <c r="K8" s="8" t="s">
        <v>97</v>
      </c>
      <c r="L8" s="11" t="s">
        <v>97</v>
      </c>
      <c r="M8" s="8" t="s">
        <v>97</v>
      </c>
      <c r="N8" s="11" t="s">
        <v>97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74">
        <v>4816054</v>
      </c>
      <c r="W8" s="7">
        <v>4443192</v>
      </c>
      <c r="X8" s="74">
        <v>7138468</v>
      </c>
      <c r="Y8" s="7">
        <v>8519468</v>
      </c>
      <c r="Z8" s="74">
        <v>8165842</v>
      </c>
      <c r="AA8" s="7">
        <v>7935715</v>
      </c>
      <c r="AB8" s="6">
        <v>7369423</v>
      </c>
      <c r="AC8" s="76">
        <v>6714228</v>
      </c>
      <c r="AD8" s="6">
        <v>6451313</v>
      </c>
      <c r="AE8" s="76">
        <v>4459487</v>
      </c>
      <c r="AF8" s="6">
        <v>4497307</v>
      </c>
      <c r="AG8" s="76">
        <v>5101134</v>
      </c>
      <c r="AH8" s="6">
        <v>6681842</v>
      </c>
      <c r="AI8" s="76">
        <v>4519116</v>
      </c>
      <c r="AJ8" s="6">
        <v>4225591</v>
      </c>
      <c r="AK8" s="76">
        <v>3573279</v>
      </c>
      <c r="AL8" s="6">
        <v>2925678</v>
      </c>
      <c r="AM8" s="76">
        <v>1824352</v>
      </c>
    </row>
    <row r="9" spans="1:39" ht="13" customHeight="1">
      <c r="A9" s="5" t="s">
        <v>189</v>
      </c>
      <c r="B9" s="5" t="s">
        <v>54</v>
      </c>
      <c r="C9" s="6">
        <v>2494144</v>
      </c>
      <c r="D9" s="7">
        <v>2713708</v>
      </c>
      <c r="E9" s="6">
        <v>4016457</v>
      </c>
      <c r="F9" s="7">
        <v>4253119</v>
      </c>
      <c r="G9" s="6">
        <v>6008087</v>
      </c>
      <c r="H9" s="7">
        <v>8504932</v>
      </c>
      <c r="I9" s="6">
        <v>5394477</v>
      </c>
      <c r="J9" s="7">
        <v>9374646</v>
      </c>
      <c r="K9" s="6">
        <v>6516511</v>
      </c>
      <c r="L9" s="7">
        <v>6469215</v>
      </c>
      <c r="M9" s="6">
        <v>8880108</v>
      </c>
      <c r="N9" s="7">
        <v>12072324</v>
      </c>
      <c r="O9" s="11" t="s">
        <v>97</v>
      </c>
      <c r="P9" s="8" t="s">
        <v>97</v>
      </c>
      <c r="Q9" s="11" t="s">
        <v>97</v>
      </c>
      <c r="R9" s="8" t="s">
        <v>97</v>
      </c>
      <c r="S9" s="11" t="s">
        <v>97</v>
      </c>
      <c r="T9" s="8" t="s">
        <v>97</v>
      </c>
      <c r="U9" s="11" t="s">
        <v>97</v>
      </c>
      <c r="V9" s="14" t="s">
        <v>97</v>
      </c>
      <c r="W9" s="11" t="s">
        <v>97</v>
      </c>
      <c r="X9" s="14" t="s">
        <v>97</v>
      </c>
      <c r="Y9" s="11" t="s">
        <v>97</v>
      </c>
      <c r="Z9" s="14" t="s">
        <v>97</v>
      </c>
      <c r="AA9" s="11" t="s">
        <v>97</v>
      </c>
      <c r="AB9" s="14">
        <v>0</v>
      </c>
      <c r="AC9" s="77">
        <v>0</v>
      </c>
      <c r="AD9" s="14">
        <v>0</v>
      </c>
      <c r="AE9" s="77">
        <v>0</v>
      </c>
      <c r="AF9" s="14">
        <v>0</v>
      </c>
      <c r="AG9" s="77">
        <v>0</v>
      </c>
      <c r="AH9" s="14">
        <v>0</v>
      </c>
      <c r="AI9" s="77">
        <v>0</v>
      </c>
      <c r="AJ9" s="14">
        <v>0</v>
      </c>
      <c r="AK9" s="77">
        <v>0</v>
      </c>
      <c r="AL9" s="14">
        <v>0</v>
      </c>
      <c r="AM9" s="77">
        <v>0</v>
      </c>
    </row>
    <row r="10" spans="1:39" ht="13" customHeight="1">
      <c r="A10" s="5" t="s">
        <v>190</v>
      </c>
      <c r="B10" s="5" t="s">
        <v>55</v>
      </c>
      <c r="C10" s="8" t="s">
        <v>97</v>
      </c>
      <c r="D10" s="11" t="s">
        <v>97</v>
      </c>
      <c r="E10" s="8" t="s">
        <v>97</v>
      </c>
      <c r="F10" s="11" t="s">
        <v>97</v>
      </c>
      <c r="G10" s="8" t="s">
        <v>97</v>
      </c>
      <c r="H10" s="11" t="s">
        <v>97</v>
      </c>
      <c r="I10" s="8" t="s">
        <v>97</v>
      </c>
      <c r="J10" s="7">
        <v>1954</v>
      </c>
      <c r="K10" s="6">
        <v>1966</v>
      </c>
      <c r="L10" s="11" t="s">
        <v>97</v>
      </c>
      <c r="M10" s="8" t="s">
        <v>97</v>
      </c>
      <c r="N10" s="7">
        <v>1117894</v>
      </c>
      <c r="O10" s="11" t="s">
        <v>97</v>
      </c>
      <c r="P10" s="8" t="s">
        <v>97</v>
      </c>
      <c r="Q10" s="11" t="s">
        <v>97</v>
      </c>
      <c r="R10" s="8" t="s">
        <v>97</v>
      </c>
      <c r="S10" s="11" t="s">
        <v>97</v>
      </c>
      <c r="T10" s="8" t="s">
        <v>97</v>
      </c>
      <c r="U10" s="11" t="s">
        <v>97</v>
      </c>
      <c r="V10" s="14" t="s">
        <v>97</v>
      </c>
      <c r="W10" s="11" t="s">
        <v>97</v>
      </c>
      <c r="X10" s="14" t="s">
        <v>97</v>
      </c>
      <c r="Y10" s="11" t="s">
        <v>97</v>
      </c>
      <c r="Z10" s="14" t="s">
        <v>97</v>
      </c>
      <c r="AA10" s="11" t="s">
        <v>97</v>
      </c>
      <c r="AB10" s="14" t="s">
        <v>97</v>
      </c>
      <c r="AC10" s="11" t="s">
        <v>97</v>
      </c>
      <c r="AD10" s="14" t="s">
        <v>97</v>
      </c>
      <c r="AE10" s="11" t="s">
        <v>97</v>
      </c>
      <c r="AF10" s="14" t="s">
        <v>97</v>
      </c>
      <c r="AG10" s="11" t="s">
        <v>97</v>
      </c>
      <c r="AH10" s="14" t="s">
        <v>97</v>
      </c>
      <c r="AI10" s="11" t="s">
        <v>97</v>
      </c>
      <c r="AJ10" s="14" t="s">
        <v>97</v>
      </c>
      <c r="AK10" s="11" t="s">
        <v>97</v>
      </c>
      <c r="AL10" s="14" t="s">
        <v>97</v>
      </c>
      <c r="AM10" s="11" t="s">
        <v>97</v>
      </c>
    </row>
    <row r="11" spans="1:39" ht="13" customHeight="1">
      <c r="A11" s="5" t="s">
        <v>191</v>
      </c>
      <c r="B11" s="5" t="s">
        <v>56</v>
      </c>
      <c r="C11" s="6">
        <v>525101</v>
      </c>
      <c r="D11" s="7">
        <v>427473</v>
      </c>
      <c r="E11" s="6">
        <v>364504</v>
      </c>
      <c r="F11" s="7">
        <v>390569</v>
      </c>
      <c r="G11" s="6">
        <v>359798</v>
      </c>
      <c r="H11" s="7">
        <v>402487</v>
      </c>
      <c r="I11" s="6">
        <v>309940</v>
      </c>
      <c r="J11" s="7">
        <v>419551</v>
      </c>
      <c r="K11" s="6">
        <v>386509</v>
      </c>
      <c r="L11" s="7">
        <v>421042</v>
      </c>
      <c r="M11" s="6">
        <v>480704</v>
      </c>
      <c r="N11" s="7">
        <v>452551</v>
      </c>
      <c r="O11" s="11" t="s">
        <v>97</v>
      </c>
      <c r="P11" s="8" t="s">
        <v>97</v>
      </c>
      <c r="Q11" s="11" t="s">
        <v>97</v>
      </c>
      <c r="R11" s="8" t="s">
        <v>97</v>
      </c>
      <c r="S11" s="11" t="s">
        <v>97</v>
      </c>
      <c r="T11" s="8" t="s">
        <v>97</v>
      </c>
      <c r="U11" s="11" t="s">
        <v>97</v>
      </c>
      <c r="V11" s="14" t="s">
        <v>97</v>
      </c>
      <c r="W11" s="11" t="s">
        <v>97</v>
      </c>
      <c r="X11" s="14" t="s">
        <v>97</v>
      </c>
      <c r="Y11" s="11" t="s">
        <v>97</v>
      </c>
      <c r="Z11" s="14" t="s">
        <v>97</v>
      </c>
      <c r="AA11" s="11" t="s">
        <v>97</v>
      </c>
      <c r="AB11" s="14" t="s">
        <v>97</v>
      </c>
      <c r="AC11" s="11" t="s">
        <v>97</v>
      </c>
      <c r="AD11" s="14" t="s">
        <v>97</v>
      </c>
      <c r="AE11" s="11" t="s">
        <v>97</v>
      </c>
      <c r="AF11" s="14" t="s">
        <v>97</v>
      </c>
      <c r="AG11" s="11" t="s">
        <v>97</v>
      </c>
      <c r="AH11" s="14" t="s">
        <v>97</v>
      </c>
      <c r="AI11" s="11" t="s">
        <v>97</v>
      </c>
      <c r="AJ11" s="14" t="s">
        <v>97</v>
      </c>
      <c r="AK11" s="11" t="s">
        <v>97</v>
      </c>
      <c r="AL11" s="14" t="s">
        <v>97</v>
      </c>
      <c r="AM11" s="11" t="s">
        <v>97</v>
      </c>
    </row>
    <row r="12" spans="1:39" ht="13" customHeight="1">
      <c r="A12" s="5" t="s">
        <v>158</v>
      </c>
      <c r="B12" s="5" t="s">
        <v>17</v>
      </c>
      <c r="C12" s="6">
        <v>119971</v>
      </c>
      <c r="D12" s="7">
        <v>49445</v>
      </c>
      <c r="E12" s="6">
        <v>123416</v>
      </c>
      <c r="F12" s="7">
        <v>139578</v>
      </c>
      <c r="G12" s="6">
        <v>161441</v>
      </c>
      <c r="H12" s="7">
        <v>53661</v>
      </c>
      <c r="I12" s="6">
        <v>62131</v>
      </c>
      <c r="J12" s="7">
        <v>71684</v>
      </c>
      <c r="K12" s="6">
        <v>61477</v>
      </c>
      <c r="L12" s="7">
        <v>45904</v>
      </c>
      <c r="M12" s="6">
        <v>75123</v>
      </c>
      <c r="N12" s="7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74">
        <v>134832</v>
      </c>
      <c r="W12" s="7">
        <v>292922</v>
      </c>
      <c r="X12" s="74">
        <v>379652</v>
      </c>
      <c r="Y12" s="7">
        <v>367017</v>
      </c>
      <c r="Z12" s="74">
        <v>334977</v>
      </c>
      <c r="AA12" s="7">
        <v>217660</v>
      </c>
      <c r="AB12" s="6">
        <v>175054</v>
      </c>
      <c r="AC12" s="76">
        <v>131902</v>
      </c>
      <c r="AD12" s="6">
        <v>38810</v>
      </c>
      <c r="AE12" s="76">
        <v>76171</v>
      </c>
      <c r="AF12" s="6">
        <v>108134</v>
      </c>
      <c r="AG12" s="76">
        <v>107836</v>
      </c>
      <c r="AH12" s="6">
        <v>178139</v>
      </c>
      <c r="AI12" s="76">
        <v>248111</v>
      </c>
      <c r="AJ12" s="6">
        <v>260544</v>
      </c>
      <c r="AK12" s="76">
        <v>331902</v>
      </c>
      <c r="AL12" s="6">
        <v>336122</v>
      </c>
      <c r="AM12" s="76">
        <v>268793</v>
      </c>
    </row>
    <row r="13" spans="1:39" ht="13" customHeight="1">
      <c r="A13" s="5" t="s">
        <v>159</v>
      </c>
      <c r="B13" s="5" t="s">
        <v>19</v>
      </c>
      <c r="C13" s="6">
        <v>27410671</v>
      </c>
      <c r="D13" s="7">
        <v>28344652</v>
      </c>
      <c r="E13" s="6">
        <v>29389041</v>
      </c>
      <c r="F13" s="7">
        <v>30907057</v>
      </c>
      <c r="G13" s="6">
        <v>32738033</v>
      </c>
      <c r="H13" s="7">
        <v>34136419</v>
      </c>
      <c r="I13" s="6">
        <v>35088891</v>
      </c>
      <c r="J13" s="7">
        <v>46247188</v>
      </c>
      <c r="K13" s="6">
        <v>48402943</v>
      </c>
      <c r="L13" s="7">
        <v>49079354</v>
      </c>
      <c r="M13" s="6">
        <v>50099527</v>
      </c>
      <c r="N13" s="7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74">
        <v>55844522</v>
      </c>
      <c r="W13" s="7">
        <v>56518126</v>
      </c>
      <c r="X13" s="74">
        <v>55703480</v>
      </c>
      <c r="Y13" s="7">
        <v>55995884</v>
      </c>
      <c r="Z13" s="74">
        <v>56215422</v>
      </c>
      <c r="AA13" s="7">
        <v>56272609</v>
      </c>
      <c r="AB13" s="6">
        <v>57028409</v>
      </c>
      <c r="AC13" s="76">
        <v>57833253</v>
      </c>
      <c r="AD13" s="6">
        <v>58228178</v>
      </c>
      <c r="AE13" s="76">
        <v>58150633</v>
      </c>
      <c r="AF13" s="6">
        <v>58271811</v>
      </c>
      <c r="AG13" s="76">
        <v>58453689</v>
      </c>
      <c r="AH13" s="6">
        <v>57609876</v>
      </c>
      <c r="AI13" s="76">
        <v>57799484</v>
      </c>
      <c r="AJ13" s="6">
        <v>58390232</v>
      </c>
      <c r="AK13" s="76">
        <v>59982894</v>
      </c>
      <c r="AL13" s="6">
        <v>60965097</v>
      </c>
      <c r="AM13" s="76">
        <v>62625845</v>
      </c>
    </row>
    <row r="14" spans="1:39" ht="13" customHeight="1">
      <c r="A14" s="5" t="s">
        <v>160</v>
      </c>
      <c r="B14" s="5" t="s">
        <v>20</v>
      </c>
      <c r="C14" s="6">
        <v>1579434</v>
      </c>
      <c r="D14" s="7">
        <v>1495445</v>
      </c>
      <c r="E14" s="6">
        <v>466315</v>
      </c>
      <c r="F14" s="7">
        <v>628332</v>
      </c>
      <c r="G14" s="6">
        <v>226125</v>
      </c>
      <c r="H14" s="7">
        <v>563369</v>
      </c>
      <c r="I14" s="6">
        <v>1007904</v>
      </c>
      <c r="J14" s="7">
        <v>366984</v>
      </c>
      <c r="K14" s="6">
        <v>493387</v>
      </c>
      <c r="L14" s="7">
        <v>510962</v>
      </c>
      <c r="M14" s="6">
        <v>561815</v>
      </c>
      <c r="N14" s="7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74">
        <v>335489</v>
      </c>
      <c r="W14" s="7">
        <v>338412</v>
      </c>
      <c r="X14" s="74">
        <v>383940</v>
      </c>
      <c r="Y14" s="7">
        <v>1270554</v>
      </c>
      <c r="Z14" s="74">
        <v>446455</v>
      </c>
      <c r="AA14" s="7">
        <v>558864</v>
      </c>
      <c r="AB14" s="6">
        <v>130899</v>
      </c>
      <c r="AC14" s="76">
        <v>602101</v>
      </c>
      <c r="AD14" s="6">
        <v>130921</v>
      </c>
      <c r="AE14" s="76">
        <v>3752896</v>
      </c>
      <c r="AF14" s="6">
        <v>2140457</v>
      </c>
      <c r="AG14" s="76">
        <v>240168</v>
      </c>
      <c r="AH14" s="6">
        <v>40992</v>
      </c>
      <c r="AI14" s="76">
        <v>47519</v>
      </c>
      <c r="AJ14" s="6">
        <v>46530</v>
      </c>
      <c r="AK14" s="76">
        <v>47413</v>
      </c>
      <c r="AL14" s="6">
        <v>46894</v>
      </c>
      <c r="AM14" s="76">
        <v>16411</v>
      </c>
    </row>
    <row r="15" spans="1:39" ht="13" customHeight="1">
      <c r="A15" s="5" t="s">
        <v>161</v>
      </c>
      <c r="B15" s="5" t="s">
        <v>21</v>
      </c>
      <c r="C15" s="6">
        <v>187521</v>
      </c>
      <c r="D15" s="7">
        <v>184272</v>
      </c>
      <c r="E15" s="6">
        <v>214481</v>
      </c>
      <c r="F15" s="7">
        <v>228955</v>
      </c>
      <c r="G15" s="6">
        <v>224482</v>
      </c>
      <c r="H15" s="7">
        <v>218312</v>
      </c>
      <c r="I15" s="6">
        <v>214348</v>
      </c>
      <c r="J15" s="7">
        <v>485796</v>
      </c>
      <c r="K15" s="6">
        <v>483779</v>
      </c>
      <c r="L15" s="7">
        <v>476289</v>
      </c>
      <c r="M15" s="6">
        <v>449762</v>
      </c>
      <c r="N15" s="7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74">
        <v>763585</v>
      </c>
      <c r="W15" s="7">
        <v>741526</v>
      </c>
      <c r="X15" s="74">
        <v>713310</v>
      </c>
      <c r="Y15" s="7">
        <v>700119</v>
      </c>
      <c r="Z15" s="74">
        <v>702381</v>
      </c>
      <c r="AA15" s="7">
        <v>693720</v>
      </c>
      <c r="AB15" s="6">
        <v>709340</v>
      </c>
      <c r="AC15" s="76">
        <v>733987</v>
      </c>
      <c r="AD15" s="6">
        <v>755209</v>
      </c>
      <c r="AE15" s="76">
        <v>746914</v>
      </c>
      <c r="AF15" s="6">
        <v>723627</v>
      </c>
      <c r="AG15" s="76">
        <v>722815</v>
      </c>
      <c r="AH15" s="6">
        <v>744443</v>
      </c>
      <c r="AI15" s="76">
        <v>723480</v>
      </c>
      <c r="AJ15" s="6">
        <v>712885</v>
      </c>
      <c r="AK15" s="76">
        <v>732593</v>
      </c>
      <c r="AL15" s="6">
        <v>743497</v>
      </c>
      <c r="AM15" s="76">
        <v>743297</v>
      </c>
    </row>
    <row r="16" spans="1:39" ht="13" customHeight="1">
      <c r="A16" s="5" t="s">
        <v>162</v>
      </c>
      <c r="B16" s="5" t="s">
        <v>22</v>
      </c>
      <c r="C16" s="6">
        <v>354399</v>
      </c>
      <c r="D16" s="7">
        <v>357654</v>
      </c>
      <c r="E16" s="6">
        <v>367876</v>
      </c>
      <c r="F16" s="7">
        <v>387048</v>
      </c>
      <c r="G16" s="6">
        <v>390374</v>
      </c>
      <c r="H16" s="7">
        <v>392648</v>
      </c>
      <c r="I16" s="6">
        <v>405250</v>
      </c>
      <c r="J16" s="7">
        <v>516444</v>
      </c>
      <c r="K16" s="6">
        <v>531100</v>
      </c>
      <c r="L16" s="7">
        <v>545193</v>
      </c>
      <c r="M16" s="6">
        <v>524761</v>
      </c>
      <c r="N16" s="7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74">
        <v>580352</v>
      </c>
      <c r="W16" s="7">
        <v>577898</v>
      </c>
      <c r="X16" s="74">
        <v>507747</v>
      </c>
      <c r="Y16" s="7">
        <v>461424</v>
      </c>
      <c r="Z16" s="74">
        <v>425109</v>
      </c>
      <c r="AA16" s="7">
        <v>420568</v>
      </c>
      <c r="AB16" s="6">
        <v>417952</v>
      </c>
      <c r="AC16" s="76">
        <v>422576</v>
      </c>
      <c r="AD16" s="6">
        <v>426643</v>
      </c>
      <c r="AE16" s="76">
        <v>395724</v>
      </c>
      <c r="AF16" s="6">
        <v>389393</v>
      </c>
      <c r="AG16" s="76">
        <v>391158</v>
      </c>
      <c r="AH16" s="6">
        <v>391058</v>
      </c>
      <c r="AI16" s="76">
        <v>390427</v>
      </c>
      <c r="AJ16" s="6">
        <v>388363</v>
      </c>
      <c r="AK16" s="76">
        <v>391866</v>
      </c>
      <c r="AL16" s="6">
        <v>412070</v>
      </c>
      <c r="AM16" s="76">
        <v>419510</v>
      </c>
    </row>
    <row r="17" spans="1:39" ht="13" customHeight="1">
      <c r="A17" s="5" t="s">
        <v>499</v>
      </c>
      <c r="B17" s="5" t="s">
        <v>500</v>
      </c>
      <c r="C17" s="6">
        <v>0</v>
      </c>
      <c r="D17" s="7">
        <v>0</v>
      </c>
      <c r="E17" s="6">
        <v>0</v>
      </c>
      <c r="F17" s="7">
        <v>0</v>
      </c>
      <c r="G17" s="6">
        <v>0</v>
      </c>
      <c r="H17" s="7">
        <v>0</v>
      </c>
      <c r="I17" s="6">
        <v>0</v>
      </c>
      <c r="J17" s="7">
        <v>0</v>
      </c>
      <c r="K17" s="6">
        <v>0</v>
      </c>
      <c r="L17" s="7">
        <v>0</v>
      </c>
      <c r="M17" s="6">
        <v>0</v>
      </c>
      <c r="N17" s="7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74">
        <v>9822</v>
      </c>
      <c r="W17" s="7">
        <v>5333</v>
      </c>
      <c r="X17" s="74">
        <v>5333</v>
      </c>
      <c r="Y17" s="7">
        <v>5333</v>
      </c>
      <c r="Z17" s="74">
        <v>5333</v>
      </c>
      <c r="AA17" s="7">
        <v>0</v>
      </c>
      <c r="AB17" s="6">
        <v>0</v>
      </c>
      <c r="AC17" s="76">
        <v>0</v>
      </c>
      <c r="AD17" s="6">
        <v>0</v>
      </c>
      <c r="AE17" s="76">
        <v>0</v>
      </c>
      <c r="AF17" s="6">
        <v>0</v>
      </c>
      <c r="AG17" s="76">
        <v>0</v>
      </c>
      <c r="AH17" s="6">
        <v>0</v>
      </c>
      <c r="AI17" s="76">
        <v>0</v>
      </c>
      <c r="AJ17" s="6">
        <v>0</v>
      </c>
      <c r="AK17" s="76">
        <v>0</v>
      </c>
      <c r="AL17" s="6">
        <v>0</v>
      </c>
      <c r="AM17" s="76">
        <v>0</v>
      </c>
    </row>
    <row r="18" spans="1:39" ht="13" customHeight="1">
      <c r="A18" s="5" t="s">
        <v>163</v>
      </c>
      <c r="B18" s="5" t="s">
        <v>23</v>
      </c>
      <c r="C18" s="6">
        <v>2394</v>
      </c>
      <c r="D18" s="7">
        <v>1879</v>
      </c>
      <c r="E18" s="6">
        <v>973</v>
      </c>
      <c r="F18" s="7">
        <v>888</v>
      </c>
      <c r="G18" s="6">
        <v>682</v>
      </c>
      <c r="H18" s="7">
        <v>696</v>
      </c>
      <c r="I18" s="6">
        <v>607</v>
      </c>
      <c r="J18" s="7">
        <v>679</v>
      </c>
      <c r="K18" s="6">
        <v>455</v>
      </c>
      <c r="L18" s="7">
        <v>468</v>
      </c>
      <c r="M18" s="6">
        <v>434</v>
      </c>
      <c r="N18" s="7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74">
        <v>103</v>
      </c>
      <c r="W18" s="7">
        <v>110</v>
      </c>
      <c r="X18" s="74">
        <v>139810</v>
      </c>
      <c r="Y18" s="7">
        <v>140157</v>
      </c>
      <c r="Z18" s="74">
        <v>3</v>
      </c>
      <c r="AA18" s="7">
        <v>28</v>
      </c>
      <c r="AB18" s="6">
        <v>28</v>
      </c>
      <c r="AC18" s="76">
        <v>1689</v>
      </c>
      <c r="AD18" s="6">
        <v>0</v>
      </c>
      <c r="AE18" s="76">
        <v>0</v>
      </c>
      <c r="AF18" s="6">
        <v>0</v>
      </c>
      <c r="AG18" s="76">
        <v>0</v>
      </c>
      <c r="AH18" s="6">
        <v>1611</v>
      </c>
      <c r="AI18" s="76">
        <v>0</v>
      </c>
      <c r="AJ18" s="6">
        <v>0</v>
      </c>
      <c r="AK18" s="76">
        <v>0</v>
      </c>
      <c r="AL18" s="6">
        <v>0</v>
      </c>
      <c r="AM18" s="76">
        <v>0</v>
      </c>
    </row>
    <row r="19" spans="1:39" ht="13" customHeight="1">
      <c r="A19" s="5" t="s">
        <v>194</v>
      </c>
      <c r="B19" s="5" t="s">
        <v>34</v>
      </c>
      <c r="C19" s="6">
        <v>0</v>
      </c>
      <c r="D19" s="7">
        <v>0</v>
      </c>
      <c r="E19" s="6">
        <v>0</v>
      </c>
      <c r="F19" s="7">
        <v>0</v>
      </c>
      <c r="G19" s="6">
        <v>0</v>
      </c>
      <c r="H19" s="7">
        <v>0</v>
      </c>
      <c r="I19" s="6">
        <v>1464933</v>
      </c>
      <c r="J19" s="7">
        <v>0</v>
      </c>
      <c r="K19" s="6">
        <v>0</v>
      </c>
      <c r="L19" s="7">
        <v>0</v>
      </c>
      <c r="M19" s="6">
        <v>0</v>
      </c>
      <c r="N19" s="7">
        <v>0</v>
      </c>
      <c r="O19" s="7">
        <v>0</v>
      </c>
      <c r="P19" s="6">
        <v>0</v>
      </c>
      <c r="Q19" s="7">
        <v>0</v>
      </c>
      <c r="R19" s="6">
        <v>0</v>
      </c>
      <c r="S19" s="7">
        <v>0</v>
      </c>
      <c r="T19" s="6">
        <v>0</v>
      </c>
      <c r="U19" s="7">
        <v>0</v>
      </c>
      <c r="V19" s="74">
        <v>0</v>
      </c>
      <c r="W19" s="7">
        <v>0</v>
      </c>
      <c r="X19" s="74">
        <v>0</v>
      </c>
      <c r="Y19" s="7">
        <v>0</v>
      </c>
      <c r="Z19" s="74">
        <v>0</v>
      </c>
      <c r="AA19" s="7">
        <v>0</v>
      </c>
      <c r="AB19" s="6">
        <v>0</v>
      </c>
      <c r="AC19" s="76">
        <v>0</v>
      </c>
      <c r="AD19" s="6">
        <v>0</v>
      </c>
      <c r="AE19" s="76">
        <v>0</v>
      </c>
      <c r="AF19" s="6">
        <v>0</v>
      </c>
      <c r="AG19" s="76">
        <v>0</v>
      </c>
      <c r="AH19" s="6">
        <v>0</v>
      </c>
      <c r="AI19" s="76">
        <v>0</v>
      </c>
      <c r="AJ19" s="6">
        <v>0</v>
      </c>
      <c r="AK19" s="76">
        <v>0</v>
      </c>
      <c r="AL19" s="6">
        <v>0</v>
      </c>
      <c r="AM19" s="76">
        <v>0</v>
      </c>
    </row>
    <row r="20" spans="1:39" ht="13" customHeight="1">
      <c r="A20" s="5" t="s">
        <v>164</v>
      </c>
      <c r="B20" s="5" t="s">
        <v>24</v>
      </c>
      <c r="C20" s="6">
        <v>204514</v>
      </c>
      <c r="D20" s="7">
        <v>228238</v>
      </c>
      <c r="E20" s="6">
        <v>253293.86</v>
      </c>
      <c r="F20" s="7">
        <v>275453</v>
      </c>
      <c r="G20" s="6">
        <v>313362</v>
      </c>
      <c r="H20" s="7">
        <v>344404</v>
      </c>
      <c r="I20" s="6">
        <v>388203</v>
      </c>
      <c r="J20" s="7">
        <v>540262</v>
      </c>
      <c r="K20" s="6">
        <f>K21+K22</f>
        <v>585441</v>
      </c>
      <c r="L20" s="7">
        <f>550373+21727</f>
        <v>572100</v>
      </c>
      <c r="M20" s="6">
        <v>566314</v>
      </c>
      <c r="N20" s="7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74">
        <f>V21+V22</f>
        <v>1169853</v>
      </c>
      <c r="W20" s="7">
        <f>W21+W22</f>
        <v>1139404</v>
      </c>
      <c r="X20" s="74">
        <v>1223388</v>
      </c>
      <c r="Y20" s="7">
        <v>1222493</v>
      </c>
      <c r="Z20" s="74">
        <v>1218282</v>
      </c>
      <c r="AA20" s="7">
        <v>1232264</v>
      </c>
      <c r="AB20" s="6">
        <v>1241630</v>
      </c>
      <c r="AC20" s="76">
        <v>1176257</v>
      </c>
      <c r="AD20" s="6">
        <v>1302329</v>
      </c>
      <c r="AE20" s="76">
        <v>1410983</v>
      </c>
      <c r="AF20" s="6">
        <v>1523556</v>
      </c>
      <c r="AG20" s="76">
        <v>1503344</v>
      </c>
      <c r="AH20" s="6">
        <f t="shared" ref="AH20:AM20" si="1">AH21+AH22</f>
        <v>1417183</v>
      </c>
      <c r="AI20" s="76">
        <f t="shared" si="1"/>
        <v>1289988</v>
      </c>
      <c r="AJ20" s="6">
        <f t="shared" si="1"/>
        <v>1188923</v>
      </c>
      <c r="AK20" s="76">
        <f t="shared" si="1"/>
        <v>1056125</v>
      </c>
      <c r="AL20" s="6">
        <f t="shared" si="1"/>
        <v>983992</v>
      </c>
      <c r="AM20" s="76">
        <f t="shared" si="1"/>
        <v>928216</v>
      </c>
    </row>
    <row r="21" spans="1:39" ht="13" customHeight="1">
      <c r="A21" s="5" t="s">
        <v>165</v>
      </c>
      <c r="B21" s="5" t="s">
        <v>50</v>
      </c>
      <c r="C21" s="6">
        <v>0</v>
      </c>
      <c r="D21" s="7">
        <v>0</v>
      </c>
      <c r="E21" s="6">
        <v>0</v>
      </c>
      <c r="F21" s="7">
        <v>0</v>
      </c>
      <c r="G21" s="6">
        <v>0</v>
      </c>
      <c r="H21" s="7">
        <v>0</v>
      </c>
      <c r="I21" s="6">
        <v>0</v>
      </c>
      <c r="J21" s="7">
        <v>0</v>
      </c>
      <c r="K21" s="6">
        <v>0</v>
      </c>
      <c r="L21" s="7">
        <v>0</v>
      </c>
      <c r="M21" s="6">
        <v>0</v>
      </c>
      <c r="N21" s="7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74">
        <v>20468</v>
      </c>
      <c r="W21" s="7">
        <v>16196</v>
      </c>
      <c r="X21" s="74">
        <v>28829</v>
      </c>
      <c r="Y21" s="7">
        <v>46916</v>
      </c>
      <c r="Z21" s="74">
        <v>59572</v>
      </c>
      <c r="AA21" s="7">
        <v>85562</v>
      </c>
      <c r="AB21" s="6">
        <v>75786</v>
      </c>
      <c r="AC21" s="76">
        <v>16</v>
      </c>
      <c r="AD21" s="6">
        <v>27</v>
      </c>
      <c r="AE21" s="76">
        <v>26</v>
      </c>
      <c r="AF21" s="6">
        <v>26</v>
      </c>
      <c r="AG21" s="76">
        <v>0</v>
      </c>
      <c r="AH21" s="6">
        <v>1205</v>
      </c>
      <c r="AI21" s="76">
        <v>1463</v>
      </c>
      <c r="AJ21" s="6">
        <v>1955</v>
      </c>
      <c r="AK21" s="76">
        <v>939</v>
      </c>
      <c r="AL21" s="6">
        <v>1340</v>
      </c>
      <c r="AM21" s="76">
        <v>977</v>
      </c>
    </row>
    <row r="22" spans="1:39" ht="13" customHeight="1">
      <c r="A22" s="5" t="s">
        <v>166</v>
      </c>
      <c r="B22" s="5" t="s">
        <v>51</v>
      </c>
      <c r="C22" s="6">
        <v>204514</v>
      </c>
      <c r="D22" s="7">
        <v>228238</v>
      </c>
      <c r="E22" s="6">
        <v>253293.86</v>
      </c>
      <c r="F22" s="7">
        <v>275453</v>
      </c>
      <c r="G22" s="6">
        <v>313362</v>
      </c>
      <c r="H22" s="7">
        <v>344082</v>
      </c>
      <c r="I22" s="6">
        <v>388203</v>
      </c>
      <c r="J22" s="7">
        <v>540262</v>
      </c>
      <c r="K22" s="6">
        <f>565473+15473+4495</f>
        <v>585441</v>
      </c>
      <c r="L22" s="7">
        <f>550373+21727</f>
        <v>572100</v>
      </c>
      <c r="M22" s="6">
        <v>566314</v>
      </c>
      <c r="N22" s="7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74">
        <v>1149385</v>
      </c>
      <c r="W22" s="7">
        <v>1123208</v>
      </c>
      <c r="X22" s="74">
        <v>1194559</v>
      </c>
      <c r="Y22" s="7">
        <v>1175577</v>
      </c>
      <c r="Z22" s="74">
        <v>1158710</v>
      </c>
      <c r="AA22" s="7">
        <v>1146702</v>
      </c>
      <c r="AB22" s="6">
        <v>1165844</v>
      </c>
      <c r="AC22" s="76">
        <v>1176241</v>
      </c>
      <c r="AD22" s="6">
        <v>1302302</v>
      </c>
      <c r="AE22" s="76">
        <v>1410957</v>
      </c>
      <c r="AF22" s="6">
        <v>1523530</v>
      </c>
      <c r="AG22" s="76">
        <v>1503344</v>
      </c>
      <c r="AH22" s="6">
        <v>1415978</v>
      </c>
      <c r="AI22" s="76">
        <v>1288525</v>
      </c>
      <c r="AJ22" s="6">
        <v>1186968</v>
      </c>
      <c r="AK22" s="76">
        <v>1055186</v>
      </c>
      <c r="AL22" s="6">
        <v>982652</v>
      </c>
      <c r="AM22" s="76">
        <v>927239</v>
      </c>
    </row>
    <row r="23" spans="1:39" ht="13" customHeight="1" thickBot="1">
      <c r="A23" s="5" t="s">
        <v>167</v>
      </c>
      <c r="B23" s="5" t="s">
        <v>25</v>
      </c>
      <c r="C23" s="6">
        <v>310506</v>
      </c>
      <c r="D23" s="7">
        <v>346612</v>
      </c>
      <c r="E23" s="6">
        <v>387825</v>
      </c>
      <c r="F23" s="7">
        <v>396547</v>
      </c>
      <c r="G23" s="6">
        <v>413926</v>
      </c>
      <c r="H23" s="7">
        <v>362208</v>
      </c>
      <c r="I23" s="6">
        <v>303417</v>
      </c>
      <c r="J23" s="7">
        <v>685996</v>
      </c>
      <c r="K23" s="6">
        <v>678086</v>
      </c>
      <c r="L23" s="7">
        <v>623778</v>
      </c>
      <c r="M23" s="6">
        <v>753081</v>
      </c>
      <c r="N23" s="7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74">
        <v>484893</v>
      </c>
      <c r="W23" s="7">
        <v>463966</v>
      </c>
      <c r="X23" s="74">
        <v>439361</v>
      </c>
      <c r="Y23" s="7">
        <v>524750</v>
      </c>
      <c r="Z23" s="74">
        <v>581126</v>
      </c>
      <c r="AA23" s="7">
        <v>553619</v>
      </c>
      <c r="AB23" s="6">
        <v>650262</v>
      </c>
      <c r="AC23" s="76">
        <v>553349</v>
      </c>
      <c r="AD23" s="6">
        <v>613454</v>
      </c>
      <c r="AE23" s="76">
        <v>556816</v>
      </c>
      <c r="AF23" s="6">
        <v>680908</v>
      </c>
      <c r="AG23" s="76">
        <v>581697</v>
      </c>
      <c r="AH23" s="6">
        <v>520964</v>
      </c>
      <c r="AI23" s="76">
        <v>666152</v>
      </c>
      <c r="AJ23" s="6">
        <v>715910</v>
      </c>
      <c r="AK23" s="76">
        <v>578857</v>
      </c>
      <c r="AL23" s="6">
        <v>671351</v>
      </c>
      <c r="AM23" s="76">
        <v>580084</v>
      </c>
    </row>
    <row r="24" spans="1:39" ht="13" customHeight="1" thickBot="1">
      <c r="A24" s="12" t="s">
        <v>168</v>
      </c>
      <c r="B24" s="12" t="s">
        <v>41</v>
      </c>
      <c r="C24" s="13">
        <f t="shared" ref="C24:U24" si="2">C3+C4+C5+C13+C14+C15+C16+C17+C18+C19+C20+C23+C12</f>
        <v>34886136</v>
      </c>
      <c r="D24" s="13">
        <f t="shared" si="2"/>
        <v>36466760</v>
      </c>
      <c r="E24" s="13">
        <f t="shared" si="2"/>
        <v>37304259.859999999</v>
      </c>
      <c r="F24" s="13">
        <f t="shared" si="2"/>
        <v>40003010</v>
      </c>
      <c r="G24" s="13">
        <f t="shared" si="2"/>
        <v>42025695</v>
      </c>
      <c r="H24" s="13">
        <f t="shared" si="2"/>
        <v>47041752</v>
      </c>
      <c r="I24" s="13">
        <f t="shared" si="2"/>
        <v>46581539</v>
      </c>
      <c r="J24" s="13">
        <f t="shared" si="2"/>
        <v>61160491</v>
      </c>
      <c r="K24" s="13">
        <f t="shared" si="2"/>
        <v>60439837</v>
      </c>
      <c r="L24" s="13">
        <f t="shared" si="2"/>
        <v>61858805</v>
      </c>
      <c r="M24" s="13">
        <f t="shared" si="2"/>
        <v>65062093</v>
      </c>
      <c r="N24" s="13">
        <f t="shared" si="2"/>
        <v>69515982</v>
      </c>
      <c r="O24" s="13">
        <f t="shared" si="2"/>
        <v>70355779</v>
      </c>
      <c r="P24" s="13">
        <f t="shared" si="2"/>
        <v>70337259</v>
      </c>
      <c r="Q24" s="13">
        <f t="shared" si="2"/>
        <v>71167223</v>
      </c>
      <c r="R24" s="13">
        <f>R3+R4+R5+R13+R14+R15+R16+R17+R18+R19+R20+R23+R12</f>
        <v>73419887</v>
      </c>
      <c r="S24" s="13">
        <f t="shared" si="2"/>
        <v>74638883</v>
      </c>
      <c r="T24" s="13">
        <f t="shared" si="2"/>
        <v>77058388</v>
      </c>
      <c r="U24" s="13">
        <f t="shared" si="2"/>
        <v>76983674</v>
      </c>
      <c r="V24" s="13">
        <v>76714137</v>
      </c>
      <c r="W24" s="13">
        <f>W3+W4+W5+W12+W13+W14+W15+W16+W17+W18+W19+W20+W23</f>
        <v>76512233</v>
      </c>
      <c r="X24" s="13">
        <f>X3+X4+X5+X12+X13+X14+X15+X16+X17+X18+X19+X20+X23</f>
        <v>77671909</v>
      </c>
      <c r="Y24" s="13">
        <v>77717339</v>
      </c>
      <c r="Z24" s="13">
        <f t="shared" ref="Z24:AE24" si="3">Z3+Z4+Z5+Z12+Z13+Z14+Z15+Z16+Z17+Z18+Z19+Z20+Z23</f>
        <v>78642032</v>
      </c>
      <c r="AA24" s="13">
        <f t="shared" si="3"/>
        <v>79880618</v>
      </c>
      <c r="AB24" s="13">
        <f t="shared" si="3"/>
        <v>79035095</v>
      </c>
      <c r="AC24" s="13">
        <f t="shared" si="3"/>
        <v>78201942</v>
      </c>
      <c r="AD24" s="13">
        <f t="shared" si="3"/>
        <v>83048372</v>
      </c>
      <c r="AE24" s="13">
        <f t="shared" si="3"/>
        <v>84649724</v>
      </c>
      <c r="AF24" s="13">
        <f t="shared" ref="AF24:AG24" si="4">AF3+AF4+AF5+AF12+AF13+AF14+AF15+AF16+AF17+AF18+AF19+AF20+AF23</f>
        <v>84223458</v>
      </c>
      <c r="AG24" s="13">
        <f t="shared" si="4"/>
        <v>84070674</v>
      </c>
      <c r="AH24" s="13">
        <f t="shared" ref="AH24:AJ24" si="5">AH3+AH4+AH5+AH12+AH13+AH14+AH15+AH16+AH17+AH18+AH19+AH20+AH23</f>
        <v>82877172</v>
      </c>
      <c r="AI24" s="13">
        <f t="shared" si="5"/>
        <v>84325176</v>
      </c>
      <c r="AJ24" s="13">
        <f t="shared" si="5"/>
        <v>83527488</v>
      </c>
      <c r="AK24" s="13">
        <f t="shared" ref="AK24:AL24" si="6">AK3+AK4+AK5+AK12+AK13+AK14+AK15+AK16+AK17+AK18+AK19+AK20+AK23</f>
        <v>86320546</v>
      </c>
      <c r="AL24" s="13">
        <f t="shared" si="6"/>
        <v>90134134</v>
      </c>
      <c r="AM24" s="13">
        <f t="shared" ref="AM24" si="7">AM3+AM4+AM5+AM12+AM13+AM14+AM15+AM16+AM17+AM18+AM19+AM20+AM23</f>
        <v>91379464</v>
      </c>
    </row>
    <row r="25" spans="1:39" ht="13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39" ht="13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39" ht="13" customHeight="1" thickBot="1">
      <c r="A27" s="1" t="s">
        <v>169</v>
      </c>
      <c r="B27" s="1" t="s">
        <v>42</v>
      </c>
      <c r="C27" s="1" t="s">
        <v>433</v>
      </c>
      <c r="D27" s="1" t="s">
        <v>434</v>
      </c>
      <c r="E27" s="1" t="s">
        <v>435</v>
      </c>
      <c r="F27" s="1" t="s">
        <v>436</v>
      </c>
      <c r="G27" s="1" t="s">
        <v>437</v>
      </c>
      <c r="H27" s="1" t="s">
        <v>438</v>
      </c>
      <c r="I27" s="1" t="s">
        <v>439</v>
      </c>
      <c r="J27" s="1" t="s">
        <v>440</v>
      </c>
      <c r="K27" s="1" t="s">
        <v>441</v>
      </c>
      <c r="L27" s="1" t="s">
        <v>442</v>
      </c>
      <c r="M27" s="1" t="s">
        <v>443</v>
      </c>
      <c r="N27" s="1" t="s">
        <v>444</v>
      </c>
      <c r="O27" s="1" t="s">
        <v>445</v>
      </c>
      <c r="P27" s="1" t="s">
        <v>446</v>
      </c>
      <c r="Q27" s="1" t="s">
        <v>447</v>
      </c>
      <c r="R27" s="1" t="s">
        <v>448</v>
      </c>
      <c r="S27" s="1" t="s">
        <v>449</v>
      </c>
      <c r="T27" s="1" t="s">
        <v>450</v>
      </c>
      <c r="U27" s="1" t="s">
        <v>451</v>
      </c>
      <c r="V27" s="1" t="s">
        <v>452</v>
      </c>
      <c r="W27" s="1" t="s">
        <v>453</v>
      </c>
      <c r="X27" s="1" t="s">
        <v>454</v>
      </c>
      <c r="Y27" s="1" t="s">
        <v>455</v>
      </c>
      <c r="Z27" s="1" t="s">
        <v>456</v>
      </c>
      <c r="AA27" s="1" t="s">
        <v>457</v>
      </c>
      <c r="AB27" s="1" t="s">
        <v>458</v>
      </c>
      <c r="AC27" s="1" t="s">
        <v>459</v>
      </c>
      <c r="AD27" s="1" t="s">
        <v>461</v>
      </c>
      <c r="AE27" s="1" t="s">
        <v>492</v>
      </c>
      <c r="AF27" s="1" t="s">
        <v>494</v>
      </c>
      <c r="AG27" s="1" t="s">
        <v>523</v>
      </c>
      <c r="AH27" s="1" t="s">
        <v>662</v>
      </c>
      <c r="AI27" s="1" t="s">
        <v>672</v>
      </c>
      <c r="AJ27" s="1" t="s">
        <v>678</v>
      </c>
      <c r="AK27" s="1" t="s">
        <v>684</v>
      </c>
      <c r="AL27" s="1" t="s">
        <v>690</v>
      </c>
      <c r="AM27" s="1" t="s">
        <v>696</v>
      </c>
    </row>
    <row r="28" spans="1:39" ht="13" customHeight="1">
      <c r="A28" s="5" t="s">
        <v>170</v>
      </c>
      <c r="B28" s="5" t="s">
        <v>26</v>
      </c>
      <c r="C28" s="14">
        <v>1853647</v>
      </c>
      <c r="D28" s="11">
        <v>1600556</v>
      </c>
      <c r="E28" s="14">
        <v>662791</v>
      </c>
      <c r="F28" s="11">
        <v>1051028</v>
      </c>
      <c r="G28" s="14">
        <v>404220</v>
      </c>
      <c r="H28" s="11">
        <v>1016777</v>
      </c>
      <c r="I28" s="14">
        <v>1163129</v>
      </c>
      <c r="J28" s="11">
        <v>428640</v>
      </c>
      <c r="K28" s="14">
        <v>536952</v>
      </c>
      <c r="L28" s="11">
        <v>866687</v>
      </c>
      <c r="M28" s="14">
        <v>714507</v>
      </c>
      <c r="N28" s="11">
        <v>891645</v>
      </c>
      <c r="O28" s="11">
        <v>1012534</v>
      </c>
      <c r="P28" s="14">
        <v>698325</v>
      </c>
      <c r="Q28" s="11">
        <v>645909</v>
      </c>
      <c r="R28" s="14">
        <v>593327</v>
      </c>
      <c r="S28" s="11">
        <v>1028504</v>
      </c>
      <c r="T28" s="14">
        <v>1101123</v>
      </c>
      <c r="U28" s="11">
        <v>984187</v>
      </c>
      <c r="V28" s="14">
        <v>822543</v>
      </c>
      <c r="W28" s="11">
        <v>939965</v>
      </c>
      <c r="X28" s="14">
        <v>967438</v>
      </c>
      <c r="Y28" s="11">
        <v>1063235</v>
      </c>
      <c r="Z28" s="14">
        <v>912407</v>
      </c>
      <c r="AA28" s="11">
        <v>827283</v>
      </c>
      <c r="AB28" s="14">
        <v>717901</v>
      </c>
      <c r="AC28" s="77">
        <v>617593</v>
      </c>
      <c r="AD28" s="14">
        <v>529617</v>
      </c>
      <c r="AE28" s="77">
        <v>2687384</v>
      </c>
      <c r="AF28" s="14">
        <v>1755706</v>
      </c>
      <c r="AG28" s="77">
        <v>294023</v>
      </c>
      <c r="AH28" s="14">
        <v>270431</v>
      </c>
      <c r="AI28" s="77">
        <v>303864</v>
      </c>
      <c r="AJ28" s="14">
        <v>229922</v>
      </c>
      <c r="AK28" s="77">
        <v>328828</v>
      </c>
      <c r="AL28" s="14">
        <v>288318</v>
      </c>
      <c r="AM28" s="77">
        <v>269018</v>
      </c>
    </row>
    <row r="29" spans="1:39" ht="13" customHeight="1">
      <c r="A29" s="5" t="s">
        <v>171</v>
      </c>
      <c r="B29" s="5" t="s">
        <v>27</v>
      </c>
      <c r="C29" s="14">
        <v>27799851</v>
      </c>
      <c r="D29" s="11">
        <v>29774617</v>
      </c>
      <c r="E29" s="14">
        <v>31430616</v>
      </c>
      <c r="F29" s="11">
        <v>33663542</v>
      </c>
      <c r="G29" s="14">
        <v>35802241</v>
      </c>
      <c r="H29" s="11">
        <v>37989929</v>
      </c>
      <c r="I29" s="14">
        <v>37432228</v>
      </c>
      <c r="J29" s="11">
        <v>51368701</v>
      </c>
      <c r="K29" s="14">
        <f>50516894+23658</f>
        <v>50540552</v>
      </c>
      <c r="L29" s="11">
        <f>51688524+32046</f>
        <v>51720570</v>
      </c>
      <c r="M29" s="14">
        <v>54770517</v>
      </c>
      <c r="N29" s="11">
        <v>57657019</v>
      </c>
      <c r="O29" s="11">
        <v>59074569</v>
      </c>
      <c r="P29" s="14">
        <v>59645174</v>
      </c>
      <c r="Q29" s="11">
        <v>60098796</v>
      </c>
      <c r="R29" s="14">
        <v>62435585</v>
      </c>
      <c r="S29" s="11">
        <v>62326563</v>
      </c>
      <c r="T29" s="14">
        <v>64885845</v>
      </c>
      <c r="U29" s="11">
        <v>64739421</v>
      </c>
      <c r="V29" s="14">
        <v>64999259</v>
      </c>
      <c r="W29" s="11">
        <v>64596016</v>
      </c>
      <c r="X29" s="14">
        <v>65865441</v>
      </c>
      <c r="Y29" s="11">
        <v>65868133</v>
      </c>
      <c r="Z29" s="14">
        <v>66875907</v>
      </c>
      <c r="AA29" s="11">
        <v>68621716</v>
      </c>
      <c r="AB29" s="14">
        <v>67832836</v>
      </c>
      <c r="AC29" s="77">
        <v>66953853</v>
      </c>
      <c r="AD29" s="14">
        <v>72005715</v>
      </c>
      <c r="AE29" s="77">
        <v>70779749</v>
      </c>
      <c r="AF29" s="14">
        <v>70741117</v>
      </c>
      <c r="AG29" s="77">
        <v>72363011</v>
      </c>
      <c r="AH29" s="14">
        <v>70776809</v>
      </c>
      <c r="AI29" s="77">
        <v>71856210</v>
      </c>
      <c r="AJ29" s="14">
        <v>70706437</v>
      </c>
      <c r="AK29" s="77">
        <v>72867552</v>
      </c>
      <c r="AL29" s="14">
        <v>75187251</v>
      </c>
      <c r="AM29" s="77">
        <v>76834304</v>
      </c>
    </row>
    <row r="30" spans="1:39" ht="13" customHeight="1">
      <c r="A30" s="5" t="s">
        <v>193</v>
      </c>
      <c r="B30" s="5" t="s">
        <v>37</v>
      </c>
      <c r="C30" s="14">
        <v>390026</v>
      </c>
      <c r="D30" s="11">
        <v>324028</v>
      </c>
      <c r="E30" s="14">
        <v>293282</v>
      </c>
      <c r="F30" s="11">
        <v>310180</v>
      </c>
      <c r="G30" s="14">
        <v>338986</v>
      </c>
      <c r="H30" s="11">
        <v>298896</v>
      </c>
      <c r="I30" s="14">
        <v>232566</v>
      </c>
      <c r="J30" s="11">
        <v>298314</v>
      </c>
      <c r="K30" s="14">
        <v>294142</v>
      </c>
      <c r="L30" s="11">
        <v>366491</v>
      </c>
      <c r="M30" s="14">
        <v>403995</v>
      </c>
      <c r="N30" s="11">
        <v>435878</v>
      </c>
      <c r="O30" s="11">
        <v>643457</v>
      </c>
      <c r="P30" s="14">
        <v>445932</v>
      </c>
      <c r="Q30" s="11">
        <v>514831</v>
      </c>
      <c r="R30" s="14">
        <v>416407</v>
      </c>
      <c r="S30" s="11">
        <v>470948</v>
      </c>
      <c r="T30" s="14">
        <v>482943</v>
      </c>
      <c r="U30" s="11">
        <v>520149</v>
      </c>
      <c r="V30" s="14">
        <v>436856</v>
      </c>
      <c r="W30" s="11">
        <v>431762</v>
      </c>
      <c r="X30" s="14">
        <v>516362</v>
      </c>
      <c r="Y30" s="11">
        <v>493324</v>
      </c>
      <c r="Z30" s="14">
        <v>501880</v>
      </c>
      <c r="AA30" s="11">
        <v>256596</v>
      </c>
      <c r="AB30" s="14">
        <v>183787</v>
      </c>
      <c r="AC30" s="77">
        <v>132553</v>
      </c>
      <c r="AD30" s="14">
        <v>188088</v>
      </c>
      <c r="AE30" s="77">
        <v>374143</v>
      </c>
      <c r="AF30" s="14">
        <v>448043</v>
      </c>
      <c r="AG30" s="77">
        <v>386489</v>
      </c>
      <c r="AH30" s="14">
        <v>255994</v>
      </c>
      <c r="AI30" s="77">
        <v>290226</v>
      </c>
      <c r="AJ30" s="14">
        <v>251975</v>
      </c>
      <c r="AK30" s="77">
        <v>238478</v>
      </c>
      <c r="AL30" s="14">
        <v>276463</v>
      </c>
      <c r="AM30" s="77">
        <v>266317</v>
      </c>
    </row>
    <row r="31" spans="1:39" ht="13" customHeight="1">
      <c r="A31" s="5" t="s">
        <v>192</v>
      </c>
      <c r="B31" s="5" t="s">
        <v>56</v>
      </c>
      <c r="C31" s="14">
        <v>390026</v>
      </c>
      <c r="D31" s="11">
        <v>324028</v>
      </c>
      <c r="E31" s="14">
        <v>293282</v>
      </c>
      <c r="F31" s="11">
        <v>310180</v>
      </c>
      <c r="G31" s="14">
        <v>338986</v>
      </c>
      <c r="H31" s="11">
        <v>298896</v>
      </c>
      <c r="I31" s="14">
        <v>232566</v>
      </c>
      <c r="J31" s="11">
        <v>298314</v>
      </c>
      <c r="K31" s="14">
        <v>294142</v>
      </c>
      <c r="L31" s="11">
        <v>366491</v>
      </c>
      <c r="M31" s="14">
        <v>403995</v>
      </c>
      <c r="N31" s="11">
        <v>435878</v>
      </c>
      <c r="O31" s="11" t="s">
        <v>97</v>
      </c>
      <c r="P31" s="14" t="s">
        <v>97</v>
      </c>
      <c r="Q31" s="11" t="s">
        <v>97</v>
      </c>
      <c r="R31" s="14" t="s">
        <v>97</v>
      </c>
      <c r="S31" s="11" t="s">
        <v>97</v>
      </c>
      <c r="T31" s="14" t="s">
        <v>97</v>
      </c>
      <c r="U31" s="11" t="s">
        <v>97</v>
      </c>
      <c r="V31" s="14" t="s">
        <v>97</v>
      </c>
      <c r="W31" s="11" t="s">
        <v>97</v>
      </c>
      <c r="X31" s="14" t="s">
        <v>97</v>
      </c>
      <c r="Y31" s="11" t="s">
        <v>97</v>
      </c>
      <c r="Z31" s="14" t="s">
        <v>97</v>
      </c>
      <c r="AA31" s="11" t="s">
        <v>97</v>
      </c>
      <c r="AB31" s="14" t="s">
        <v>97</v>
      </c>
      <c r="AC31" s="11" t="s">
        <v>97</v>
      </c>
      <c r="AD31" s="14" t="s">
        <v>97</v>
      </c>
      <c r="AE31" s="11" t="s">
        <v>97</v>
      </c>
      <c r="AF31" s="14" t="s">
        <v>97</v>
      </c>
      <c r="AG31" s="11" t="s">
        <v>97</v>
      </c>
      <c r="AH31" s="14" t="s">
        <v>97</v>
      </c>
      <c r="AI31" s="11" t="s">
        <v>97</v>
      </c>
      <c r="AJ31" s="14" t="s">
        <v>97</v>
      </c>
      <c r="AK31" s="11" t="s">
        <v>97</v>
      </c>
      <c r="AL31" s="14" t="s">
        <v>97</v>
      </c>
      <c r="AM31" s="11" t="s">
        <v>97</v>
      </c>
    </row>
    <row r="32" spans="1:39" ht="13" customHeight="1">
      <c r="A32" s="5" t="s">
        <v>172</v>
      </c>
      <c r="B32" s="5" t="s">
        <v>39</v>
      </c>
      <c r="C32" s="14" t="s">
        <v>97</v>
      </c>
      <c r="D32" s="11" t="s">
        <v>97</v>
      </c>
      <c r="E32" s="14" t="s">
        <v>97</v>
      </c>
      <c r="F32" s="11" t="s">
        <v>97</v>
      </c>
      <c r="G32" s="14" t="s">
        <v>97</v>
      </c>
      <c r="H32" s="11" t="s">
        <v>97</v>
      </c>
      <c r="I32" s="14" t="s">
        <v>97</v>
      </c>
      <c r="J32" s="11" t="s">
        <v>97</v>
      </c>
      <c r="K32" s="14" t="s">
        <v>97</v>
      </c>
      <c r="L32" s="11" t="s">
        <v>97</v>
      </c>
      <c r="M32" s="14" t="s">
        <v>97</v>
      </c>
      <c r="N32" s="11" t="s">
        <v>97</v>
      </c>
      <c r="O32" s="11">
        <v>643457</v>
      </c>
      <c r="P32" s="14">
        <v>445932</v>
      </c>
      <c r="Q32" s="11">
        <v>514831</v>
      </c>
      <c r="R32" s="14">
        <v>416407</v>
      </c>
      <c r="S32" s="11">
        <f>S30</f>
        <v>470948</v>
      </c>
      <c r="T32" s="14">
        <f>T30</f>
        <v>482943</v>
      </c>
      <c r="U32" s="11">
        <v>520149</v>
      </c>
      <c r="V32" s="14">
        <v>436856</v>
      </c>
      <c r="W32" s="11">
        <v>431762</v>
      </c>
      <c r="X32" s="14">
        <v>516362</v>
      </c>
      <c r="Y32" s="11">
        <v>493324</v>
      </c>
      <c r="Z32" s="14">
        <v>501880</v>
      </c>
      <c r="AA32" s="11">
        <v>256596</v>
      </c>
      <c r="AB32" s="14">
        <v>183787</v>
      </c>
      <c r="AC32" s="77">
        <v>132553</v>
      </c>
      <c r="AD32" s="14">
        <f t="shared" ref="AD32:AI32" si="8">AD30</f>
        <v>188088</v>
      </c>
      <c r="AE32" s="77">
        <f t="shared" si="8"/>
        <v>374143</v>
      </c>
      <c r="AF32" s="14">
        <f t="shared" si="8"/>
        <v>448043</v>
      </c>
      <c r="AG32" s="77">
        <f t="shared" si="8"/>
        <v>386489</v>
      </c>
      <c r="AH32" s="14">
        <f t="shared" si="8"/>
        <v>255994</v>
      </c>
      <c r="AI32" s="77">
        <f t="shared" si="8"/>
        <v>290226</v>
      </c>
      <c r="AJ32" s="14">
        <f t="shared" ref="AJ32:AK32" si="9">AJ30</f>
        <v>251975</v>
      </c>
      <c r="AK32" s="77">
        <f t="shared" si="9"/>
        <v>238478</v>
      </c>
      <c r="AL32" s="14">
        <f t="shared" ref="AL32:AM32" si="10">AL30</f>
        <v>276463</v>
      </c>
      <c r="AM32" s="77">
        <f t="shared" si="10"/>
        <v>266317</v>
      </c>
    </row>
    <row r="33" spans="1:39" ht="13" customHeight="1">
      <c r="A33" s="5" t="s">
        <v>173</v>
      </c>
      <c r="B33" s="5" t="s">
        <v>17</v>
      </c>
      <c r="C33" s="14">
        <v>0</v>
      </c>
      <c r="D33" s="11">
        <v>10887</v>
      </c>
      <c r="E33" s="14">
        <v>418</v>
      </c>
      <c r="F33" s="11">
        <v>0</v>
      </c>
      <c r="G33" s="14">
        <v>507</v>
      </c>
      <c r="H33" s="11">
        <v>0</v>
      </c>
      <c r="I33" s="14">
        <v>0</v>
      </c>
      <c r="J33" s="11">
        <v>6119</v>
      </c>
      <c r="K33" s="14">
        <v>12252</v>
      </c>
      <c r="L33" s="11">
        <v>8868</v>
      </c>
      <c r="M33" s="14">
        <v>4713</v>
      </c>
      <c r="N33" s="11">
        <v>5419</v>
      </c>
      <c r="O33" s="11">
        <v>10068</v>
      </c>
      <c r="P33" s="14">
        <v>8756</v>
      </c>
      <c r="Q33" s="11">
        <v>4064</v>
      </c>
      <c r="R33" s="14">
        <v>9381</v>
      </c>
      <c r="S33" s="11">
        <v>14714</v>
      </c>
      <c r="T33" s="14">
        <v>16134</v>
      </c>
      <c r="U33" s="11">
        <v>46356</v>
      </c>
      <c r="V33" s="14">
        <v>40676</v>
      </c>
      <c r="W33" s="11">
        <v>77545</v>
      </c>
      <c r="X33" s="14">
        <v>89690</v>
      </c>
      <c r="Y33" s="11">
        <v>88817</v>
      </c>
      <c r="Z33" s="14">
        <v>86162</v>
      </c>
      <c r="AA33" s="11">
        <v>137665</v>
      </c>
      <c r="AB33" s="14">
        <v>169281</v>
      </c>
      <c r="AC33" s="77">
        <v>256753</v>
      </c>
      <c r="AD33" s="14">
        <v>1081996</v>
      </c>
      <c r="AE33" s="77">
        <v>1674163</v>
      </c>
      <c r="AF33" s="14">
        <v>2265278</v>
      </c>
      <c r="AG33" s="77">
        <v>2091087</v>
      </c>
      <c r="AH33" s="14">
        <v>1678933</v>
      </c>
      <c r="AI33" s="77">
        <v>1384034</v>
      </c>
      <c r="AJ33" s="14">
        <v>1083976</v>
      </c>
      <c r="AK33" s="77">
        <v>766294</v>
      </c>
      <c r="AL33" s="14">
        <v>682631</v>
      </c>
      <c r="AM33" s="77">
        <v>660777</v>
      </c>
    </row>
    <row r="34" spans="1:39" ht="23">
      <c r="A34" s="5" t="s">
        <v>693</v>
      </c>
      <c r="B34" s="5" t="s">
        <v>692</v>
      </c>
      <c r="C34" s="14"/>
      <c r="D34" s="11"/>
      <c r="E34" s="14"/>
      <c r="F34" s="11"/>
      <c r="G34" s="14"/>
      <c r="H34" s="11"/>
      <c r="I34" s="14"/>
      <c r="J34" s="11"/>
      <c r="K34" s="14"/>
      <c r="L34" s="11"/>
      <c r="M34" s="14"/>
      <c r="N34" s="11"/>
      <c r="O34" s="11"/>
      <c r="P34" s="14"/>
      <c r="Q34" s="11"/>
      <c r="R34" s="14"/>
      <c r="S34" s="11"/>
      <c r="T34" s="14"/>
      <c r="U34" s="11"/>
      <c r="V34" s="14"/>
      <c r="W34" s="11"/>
      <c r="X34" s="14"/>
      <c r="Y34" s="11"/>
      <c r="Z34" s="14"/>
      <c r="AA34" s="11"/>
      <c r="AB34" s="14"/>
      <c r="AC34" s="77"/>
      <c r="AD34" s="14"/>
      <c r="AE34" s="77"/>
      <c r="AF34" s="14"/>
      <c r="AG34" s="77"/>
      <c r="AH34" s="14"/>
      <c r="AI34" s="77"/>
      <c r="AJ34" s="14"/>
      <c r="AK34" s="77"/>
      <c r="AL34" s="14">
        <v>-229</v>
      </c>
      <c r="AM34" s="77">
        <v>-589</v>
      </c>
    </row>
    <row r="35" spans="1:39" ht="13" customHeight="1">
      <c r="A35" s="5" t="s">
        <v>174</v>
      </c>
      <c r="B35" s="5" t="s">
        <v>28</v>
      </c>
      <c r="C35" s="14">
        <v>9525</v>
      </c>
      <c r="D35" s="11">
        <v>14014</v>
      </c>
      <c r="E35" s="14">
        <v>9587</v>
      </c>
      <c r="F35" s="11">
        <v>10813</v>
      </c>
      <c r="G35" s="14">
        <v>15010</v>
      </c>
      <c r="H35" s="11">
        <v>11551</v>
      </c>
      <c r="I35" s="14">
        <v>12070</v>
      </c>
      <c r="J35" s="11">
        <v>286815</v>
      </c>
      <c r="K35" s="14">
        <v>268299</v>
      </c>
      <c r="L35" s="11">
        <v>186082</v>
      </c>
      <c r="M35" s="14">
        <v>122410</v>
      </c>
      <c r="N35" s="11">
        <v>90457</v>
      </c>
      <c r="O35" s="11">
        <v>183066</v>
      </c>
      <c r="P35" s="14">
        <v>190562</v>
      </c>
      <c r="Q35" s="11">
        <v>201236</v>
      </c>
      <c r="R35" s="14">
        <v>126199</v>
      </c>
      <c r="S35" s="11">
        <v>122703</v>
      </c>
      <c r="T35" s="14">
        <v>117120</v>
      </c>
      <c r="U35" s="11">
        <v>119716</v>
      </c>
      <c r="V35" s="14">
        <v>358869</v>
      </c>
      <c r="W35" s="11">
        <v>257105</v>
      </c>
      <c r="X35" s="14">
        <v>402739</v>
      </c>
      <c r="Y35" s="11">
        <v>356723</v>
      </c>
      <c r="Z35" s="14">
        <v>336560</v>
      </c>
      <c r="AA35" s="11">
        <v>310779</v>
      </c>
      <c r="AB35" s="14">
        <v>283620</v>
      </c>
      <c r="AC35" s="77">
        <v>285467</v>
      </c>
      <c r="AD35" s="14">
        <v>290213</v>
      </c>
      <c r="AE35" s="77">
        <v>288627</v>
      </c>
      <c r="AF35" s="14">
        <v>265906</v>
      </c>
      <c r="AG35" s="77">
        <v>258735</v>
      </c>
      <c r="AH35" s="14">
        <v>267947</v>
      </c>
      <c r="AI35" s="77">
        <v>204047</v>
      </c>
      <c r="AJ35" s="14">
        <v>228891</v>
      </c>
      <c r="AK35" s="77">
        <v>264413</v>
      </c>
      <c r="AL35" s="14">
        <v>309976</v>
      </c>
      <c r="AM35" s="77">
        <v>294374</v>
      </c>
    </row>
    <row r="36" spans="1:39" ht="13" customHeight="1">
      <c r="A36" s="5" t="s">
        <v>175</v>
      </c>
      <c r="B36" s="5" t="s">
        <v>29</v>
      </c>
      <c r="C36" s="14">
        <v>786188</v>
      </c>
      <c r="D36" s="11">
        <v>670677</v>
      </c>
      <c r="E36" s="14">
        <v>716700</v>
      </c>
      <c r="F36" s="11">
        <v>535274</v>
      </c>
      <c r="G36" s="14">
        <v>894589</v>
      </c>
      <c r="H36" s="11">
        <v>738916</v>
      </c>
      <c r="I36" s="14">
        <v>674485</v>
      </c>
      <c r="J36" s="11">
        <v>1433301</v>
      </c>
      <c r="K36" s="14">
        <f>1271461+12345</f>
        <v>1283806</v>
      </c>
      <c r="L36" s="11">
        <f>1139811+15757</f>
        <v>1155568</v>
      </c>
      <c r="M36" s="14">
        <v>1251720</v>
      </c>
      <c r="N36" s="11">
        <v>1693915</v>
      </c>
      <c r="O36" s="11">
        <v>1376938</v>
      </c>
      <c r="P36" s="14">
        <v>1149084</v>
      </c>
      <c r="Q36" s="11">
        <v>1300059</v>
      </c>
      <c r="R36" s="14">
        <v>1167111</v>
      </c>
      <c r="S36" s="11">
        <v>2095875</v>
      </c>
      <c r="T36" s="14">
        <v>1873102</v>
      </c>
      <c r="U36" s="11">
        <v>1824400</v>
      </c>
      <c r="V36" s="14">
        <v>1429676</v>
      </c>
      <c r="W36" s="11">
        <v>1572872</v>
      </c>
      <c r="X36" s="14">
        <v>1503086</v>
      </c>
      <c r="Y36" s="11">
        <v>1408317</v>
      </c>
      <c r="Z36" s="14">
        <v>1569867</v>
      </c>
      <c r="AA36" s="11">
        <v>1572238</v>
      </c>
      <c r="AB36" s="14">
        <v>1732821</v>
      </c>
      <c r="AC36" s="77">
        <v>1801406</v>
      </c>
      <c r="AD36" s="14">
        <v>1649540</v>
      </c>
      <c r="AE36" s="77">
        <v>1886528</v>
      </c>
      <c r="AF36" s="14">
        <v>2139440</v>
      </c>
      <c r="AG36" s="77">
        <v>1913903</v>
      </c>
      <c r="AH36" s="14">
        <v>2044232</v>
      </c>
      <c r="AI36" s="77">
        <v>2110360</v>
      </c>
      <c r="AJ36" s="14">
        <v>2017029</v>
      </c>
      <c r="AK36" s="77">
        <v>1864675</v>
      </c>
      <c r="AL36" s="14">
        <v>2653900</v>
      </c>
      <c r="AM36" s="77">
        <v>2386095</v>
      </c>
    </row>
    <row r="37" spans="1:39" ht="13" customHeight="1">
      <c r="A37" s="5"/>
      <c r="B37" s="5" t="s">
        <v>321</v>
      </c>
      <c r="C37" s="14"/>
      <c r="D37" s="11"/>
      <c r="E37" s="14"/>
      <c r="F37" s="11"/>
      <c r="G37" s="14"/>
      <c r="H37" s="11"/>
      <c r="I37" s="14"/>
      <c r="J37" s="11"/>
      <c r="K37" s="14"/>
      <c r="L37" s="11"/>
      <c r="M37" s="14"/>
      <c r="N37" s="11"/>
      <c r="O37" s="11"/>
      <c r="P37" s="14"/>
      <c r="Q37" s="11"/>
      <c r="R37" s="14"/>
      <c r="S37" s="11"/>
      <c r="T37" s="14"/>
      <c r="U37" s="11"/>
      <c r="V37" s="14"/>
      <c r="W37" s="11">
        <v>0</v>
      </c>
      <c r="X37" s="14">
        <v>165120</v>
      </c>
      <c r="Y37" s="11">
        <v>172332</v>
      </c>
      <c r="Z37" s="14">
        <v>0</v>
      </c>
      <c r="AA37" s="11">
        <v>0</v>
      </c>
      <c r="AB37" s="14">
        <v>0</v>
      </c>
      <c r="AC37" s="77">
        <v>0</v>
      </c>
      <c r="AD37" s="14">
        <v>0</v>
      </c>
      <c r="AE37" s="77">
        <v>0</v>
      </c>
      <c r="AF37" s="14"/>
      <c r="AG37" s="77">
        <v>0</v>
      </c>
      <c r="AH37" s="14">
        <v>0</v>
      </c>
      <c r="AI37" s="77">
        <v>0</v>
      </c>
      <c r="AJ37" s="14">
        <v>0</v>
      </c>
      <c r="AK37" s="77">
        <v>0</v>
      </c>
      <c r="AL37" s="14">
        <v>0</v>
      </c>
      <c r="AM37" s="77">
        <v>0</v>
      </c>
    </row>
    <row r="38" spans="1:39" ht="13" customHeight="1">
      <c r="A38" s="5" t="s">
        <v>176</v>
      </c>
      <c r="B38" s="5" t="s">
        <v>30</v>
      </c>
      <c r="C38" s="14">
        <v>18633</v>
      </c>
      <c r="D38" s="11">
        <v>15666</v>
      </c>
      <c r="E38" s="14">
        <v>12806</v>
      </c>
      <c r="F38" s="11">
        <v>21776</v>
      </c>
      <c r="G38" s="14">
        <v>30811</v>
      </c>
      <c r="H38" s="11">
        <v>18876</v>
      </c>
      <c r="I38" s="14">
        <v>25793</v>
      </c>
      <c r="J38" s="11">
        <v>13945</v>
      </c>
      <c r="K38" s="14">
        <f>K39+K40</f>
        <v>66971</v>
      </c>
      <c r="L38" s="11">
        <f>L39+L40</f>
        <v>51815</v>
      </c>
      <c r="M38" s="14">
        <v>75803</v>
      </c>
      <c r="N38" s="11">
        <v>135690</v>
      </c>
      <c r="O38" s="11">
        <v>236190</v>
      </c>
      <c r="P38" s="14">
        <v>147337</v>
      </c>
      <c r="Q38" s="11">
        <f>Q39+Q40</f>
        <v>181506</v>
      </c>
      <c r="R38" s="14">
        <f>R39+R40</f>
        <v>267861</v>
      </c>
      <c r="S38" s="11">
        <f>S39+S40</f>
        <v>88434</v>
      </c>
      <c r="T38" s="14">
        <f>T39+T40</f>
        <v>7733</v>
      </c>
      <c r="U38" s="11">
        <f>U39+U40</f>
        <v>41679</v>
      </c>
      <c r="V38" s="14">
        <v>94905</v>
      </c>
      <c r="W38" s="11">
        <f>W39+W40</f>
        <v>10167</v>
      </c>
      <c r="X38" s="14">
        <v>1352</v>
      </c>
      <c r="Y38" s="11">
        <v>1899</v>
      </c>
      <c r="Z38" s="14">
        <v>6685</v>
      </c>
      <c r="AA38" s="11">
        <v>3091</v>
      </c>
      <c r="AB38" s="14">
        <v>3459</v>
      </c>
      <c r="AC38" s="77">
        <v>17600</v>
      </c>
      <c r="AD38" s="14">
        <v>36560</v>
      </c>
      <c r="AE38" s="77">
        <v>71751</v>
      </c>
      <c r="AF38" s="14">
        <v>127565</v>
      </c>
      <c r="AG38" s="77">
        <v>146427</v>
      </c>
      <c r="AH38" s="14">
        <f t="shared" ref="AH38:AM38" si="11">AH39+AH40</f>
        <v>249086</v>
      </c>
      <c r="AI38" s="77">
        <f t="shared" si="11"/>
        <v>91958</v>
      </c>
      <c r="AJ38" s="14">
        <f t="shared" si="11"/>
        <v>161158</v>
      </c>
      <c r="AK38" s="77">
        <f t="shared" si="11"/>
        <v>231570</v>
      </c>
      <c r="AL38" s="14">
        <f t="shared" si="11"/>
        <v>326235</v>
      </c>
      <c r="AM38" s="77">
        <f t="shared" si="11"/>
        <v>75579</v>
      </c>
    </row>
    <row r="39" spans="1:39" ht="13" customHeight="1">
      <c r="A39" s="5" t="s">
        <v>177</v>
      </c>
      <c r="B39" s="5" t="s">
        <v>52</v>
      </c>
      <c r="C39" s="14">
        <v>18633</v>
      </c>
      <c r="D39" s="11">
        <v>15666</v>
      </c>
      <c r="E39" s="14">
        <v>12806</v>
      </c>
      <c r="F39" s="11">
        <v>21776</v>
      </c>
      <c r="G39" s="14">
        <v>30722</v>
      </c>
      <c r="H39" s="11">
        <v>18787</v>
      </c>
      <c r="I39" s="14">
        <v>25704</v>
      </c>
      <c r="J39" s="11">
        <v>13190</v>
      </c>
      <c r="K39" s="14">
        <f>45190+1224+19572</f>
        <v>65986</v>
      </c>
      <c r="L39" s="11">
        <f>29431+21169</f>
        <v>50600</v>
      </c>
      <c r="M39" s="14">
        <v>73529</v>
      </c>
      <c r="N39" s="11">
        <v>135204</v>
      </c>
      <c r="O39" s="11">
        <v>235694</v>
      </c>
      <c r="P39" s="14">
        <v>146826</v>
      </c>
      <c r="Q39" s="11">
        <v>180980</v>
      </c>
      <c r="R39" s="14">
        <v>267429</v>
      </c>
      <c r="S39" s="11">
        <f>106545-18552</f>
        <v>87993</v>
      </c>
      <c r="T39" s="14">
        <v>7284</v>
      </c>
      <c r="U39" s="11">
        <v>41220</v>
      </c>
      <c r="V39" s="14">
        <v>94404</v>
      </c>
      <c r="W39" s="11">
        <v>9658</v>
      </c>
      <c r="X39" s="14">
        <v>834</v>
      </c>
      <c r="Y39" s="11">
        <v>1374</v>
      </c>
      <c r="Z39" s="14">
        <v>6046</v>
      </c>
      <c r="AA39" s="11">
        <v>2357</v>
      </c>
      <c r="AB39" s="14">
        <v>2719</v>
      </c>
      <c r="AC39" s="77">
        <v>16855</v>
      </c>
      <c r="AD39" s="14">
        <v>35671</v>
      </c>
      <c r="AE39" s="77">
        <v>70859</v>
      </c>
      <c r="AF39" s="14">
        <v>126675</v>
      </c>
      <c r="AG39" s="77">
        <v>145512</v>
      </c>
      <c r="AH39" s="14">
        <v>246997</v>
      </c>
      <c r="AI39" s="77">
        <v>89848</v>
      </c>
      <c r="AJ39" s="14">
        <v>159054</v>
      </c>
      <c r="AK39" s="77">
        <v>229455</v>
      </c>
      <c r="AL39" s="14">
        <v>324207</v>
      </c>
      <c r="AM39" s="77">
        <v>73551</v>
      </c>
    </row>
    <row r="40" spans="1:39" ht="13" customHeight="1">
      <c r="A40" s="5" t="s">
        <v>178</v>
      </c>
      <c r="B40" s="5" t="s">
        <v>53</v>
      </c>
      <c r="C40" s="14">
        <v>0</v>
      </c>
      <c r="D40" s="11">
        <v>0</v>
      </c>
      <c r="E40" s="14">
        <v>0</v>
      </c>
      <c r="F40" s="11">
        <v>0</v>
      </c>
      <c r="G40" s="14">
        <v>89</v>
      </c>
      <c r="H40" s="11">
        <v>89</v>
      </c>
      <c r="I40" s="14">
        <v>89</v>
      </c>
      <c r="J40" s="11">
        <v>755</v>
      </c>
      <c r="K40" s="14">
        <v>985</v>
      </c>
      <c r="L40" s="11">
        <v>1215</v>
      </c>
      <c r="M40" s="14">
        <v>2274</v>
      </c>
      <c r="N40" s="11">
        <v>486</v>
      </c>
      <c r="O40" s="11">
        <v>496</v>
      </c>
      <c r="P40" s="14">
        <v>511</v>
      </c>
      <c r="Q40" s="11">
        <v>526</v>
      </c>
      <c r="R40" s="14">
        <v>432</v>
      </c>
      <c r="S40" s="11">
        <v>441</v>
      </c>
      <c r="T40" s="14">
        <v>449</v>
      </c>
      <c r="U40" s="11">
        <v>459</v>
      </c>
      <c r="V40" s="14">
        <v>501</v>
      </c>
      <c r="W40" s="11">
        <v>509</v>
      </c>
      <c r="X40" s="14">
        <v>518</v>
      </c>
      <c r="Y40" s="11">
        <v>525</v>
      </c>
      <c r="Z40" s="14">
        <v>639</v>
      </c>
      <c r="AA40" s="11">
        <v>734</v>
      </c>
      <c r="AB40" s="14">
        <v>740</v>
      </c>
      <c r="AC40" s="77">
        <v>745</v>
      </c>
      <c r="AD40" s="14">
        <v>889</v>
      </c>
      <c r="AE40" s="77">
        <v>892</v>
      </c>
      <c r="AF40" s="14">
        <v>890</v>
      </c>
      <c r="AG40" s="77">
        <v>915</v>
      </c>
      <c r="AH40" s="14">
        <v>2089</v>
      </c>
      <c r="AI40" s="77">
        <v>2110</v>
      </c>
      <c r="AJ40" s="14">
        <v>2104</v>
      </c>
      <c r="AK40" s="77">
        <v>2115</v>
      </c>
      <c r="AL40" s="14">
        <v>2028</v>
      </c>
      <c r="AM40" s="77">
        <v>2028</v>
      </c>
    </row>
    <row r="41" spans="1:39" ht="13" customHeight="1" thickBot="1">
      <c r="A41" s="5" t="s">
        <v>179</v>
      </c>
      <c r="B41" s="5" t="s">
        <v>31</v>
      </c>
      <c r="C41" s="14">
        <v>706264</v>
      </c>
      <c r="D41" s="11">
        <v>711094</v>
      </c>
      <c r="E41" s="14">
        <v>707724</v>
      </c>
      <c r="F41" s="11">
        <v>896298</v>
      </c>
      <c r="G41" s="14">
        <v>937739</v>
      </c>
      <c r="H41" s="11">
        <v>1165450</v>
      </c>
      <c r="I41" s="14">
        <v>1163660</v>
      </c>
      <c r="J41" s="11">
        <v>1164794</v>
      </c>
      <c r="K41" s="14">
        <v>1160970</v>
      </c>
      <c r="L41" s="11">
        <v>1160811</v>
      </c>
      <c r="M41" s="14">
        <v>1169760</v>
      </c>
      <c r="N41" s="11">
        <v>1914976</v>
      </c>
      <c r="O41" s="11">
        <v>1925334</v>
      </c>
      <c r="P41" s="14">
        <v>1918988</v>
      </c>
      <c r="Q41" s="11">
        <v>1926110</v>
      </c>
      <c r="R41" s="14">
        <v>1918093</v>
      </c>
      <c r="S41" s="11">
        <v>1931830</v>
      </c>
      <c r="T41" s="14">
        <v>1920387</v>
      </c>
      <c r="U41" s="11">
        <v>1928437</v>
      </c>
      <c r="V41" s="14">
        <v>1793985</v>
      </c>
      <c r="W41" s="11">
        <v>1804489</v>
      </c>
      <c r="X41" s="14">
        <v>1793330</v>
      </c>
      <c r="Y41" s="11">
        <v>1798883</v>
      </c>
      <c r="Z41" s="14">
        <v>1792962</v>
      </c>
      <c r="AA41" s="11">
        <v>1605142</v>
      </c>
      <c r="AB41" s="14">
        <v>1529202</v>
      </c>
      <c r="AC41" s="77">
        <v>1536055</v>
      </c>
      <c r="AD41" s="14">
        <v>1347441</v>
      </c>
      <c r="AE41" s="77">
        <v>1307704</v>
      </c>
      <c r="AF41" s="14">
        <v>1159386</v>
      </c>
      <c r="AG41" s="77">
        <v>1171268</v>
      </c>
      <c r="AH41" s="14">
        <v>1163875</v>
      </c>
      <c r="AI41" s="77">
        <v>1175976</v>
      </c>
      <c r="AJ41" s="14">
        <v>1162717</v>
      </c>
      <c r="AK41" s="77">
        <v>1174464</v>
      </c>
      <c r="AL41" s="14">
        <v>1159999</v>
      </c>
      <c r="AM41" s="77">
        <v>775588</v>
      </c>
    </row>
    <row r="42" spans="1:39" ht="13" customHeight="1" thickBot="1">
      <c r="A42" s="12" t="s">
        <v>180</v>
      </c>
      <c r="B42" s="12" t="s">
        <v>32</v>
      </c>
      <c r="C42" s="15">
        <f t="shared" ref="C42:S42" si="12">C28+C29+C33+C35+C36+C38+C41+C30</f>
        <v>31564134</v>
      </c>
      <c r="D42" s="15">
        <f t="shared" si="12"/>
        <v>33121539</v>
      </c>
      <c r="E42" s="15">
        <f t="shared" si="12"/>
        <v>33833924</v>
      </c>
      <c r="F42" s="15">
        <f t="shared" si="12"/>
        <v>36488911</v>
      </c>
      <c r="G42" s="15">
        <f t="shared" si="12"/>
        <v>38424103</v>
      </c>
      <c r="H42" s="15">
        <f t="shared" si="12"/>
        <v>41240395</v>
      </c>
      <c r="I42" s="15">
        <f t="shared" si="12"/>
        <v>40703931</v>
      </c>
      <c r="J42" s="15">
        <f t="shared" si="12"/>
        <v>55000629</v>
      </c>
      <c r="K42" s="15">
        <f t="shared" si="12"/>
        <v>54163944</v>
      </c>
      <c r="L42" s="15">
        <f t="shared" si="12"/>
        <v>55516892</v>
      </c>
      <c r="M42" s="15">
        <f t="shared" si="12"/>
        <v>58513425</v>
      </c>
      <c r="N42" s="15">
        <f t="shared" si="12"/>
        <v>62824999</v>
      </c>
      <c r="O42" s="15">
        <f t="shared" si="12"/>
        <v>64462156</v>
      </c>
      <c r="P42" s="15">
        <f t="shared" si="12"/>
        <v>64204158</v>
      </c>
      <c r="Q42" s="15">
        <f t="shared" si="12"/>
        <v>64872511</v>
      </c>
      <c r="R42" s="15">
        <f t="shared" si="12"/>
        <v>66933964</v>
      </c>
      <c r="S42" s="15">
        <f t="shared" si="12"/>
        <v>68079571</v>
      </c>
      <c r="T42" s="15">
        <f>T28+T29+T33+T35+T36+T38+T41+T30</f>
        <v>70404387</v>
      </c>
      <c r="U42" s="15">
        <f>U28+U29+U33+U35+U36+U38+U41+U30</f>
        <v>70204345</v>
      </c>
      <c r="V42" s="15">
        <v>69976769</v>
      </c>
      <c r="W42" s="15">
        <f>W28+W29+W30+W33+W35+W36+W38+W41</f>
        <v>69689921</v>
      </c>
      <c r="X42" s="15">
        <f>X28+X29+X30+X33+X35+X36+X38+X41+X37</f>
        <v>71304558</v>
      </c>
      <c r="Y42" s="15">
        <v>71251663</v>
      </c>
      <c r="Z42" s="15">
        <f t="shared" ref="Z42:AE42" si="13">Z28+Z29+Z30+Z33+Z35+Z36+Z38+Z41+Z37</f>
        <v>72082430</v>
      </c>
      <c r="AA42" s="15">
        <f t="shared" si="13"/>
        <v>73334510</v>
      </c>
      <c r="AB42" s="15">
        <f t="shared" si="13"/>
        <v>72452907</v>
      </c>
      <c r="AC42" s="15">
        <f t="shared" si="13"/>
        <v>71601280</v>
      </c>
      <c r="AD42" s="15">
        <f t="shared" si="13"/>
        <v>77129170</v>
      </c>
      <c r="AE42" s="15">
        <f t="shared" si="13"/>
        <v>79070049</v>
      </c>
      <c r="AF42" s="15">
        <f>AF28+AF29+AF30+AF33+AF35+AF36+AF38+AF41+AF37</f>
        <v>78902441</v>
      </c>
      <c r="AG42" s="15">
        <f t="shared" ref="AG42" si="14">AG28+AG29+AG30+AG33+AG35+AG36+AG38+AG41+AG37</f>
        <v>78624943</v>
      </c>
      <c r="AH42" s="15">
        <f>AH28+AH29+AH30+AH33+AH35+AH36+AH38+AH41+AH37</f>
        <v>76707307</v>
      </c>
      <c r="AI42" s="15">
        <f>AI28+AI29+AI30+AI33+AI35+AI36+AI38+AI41+AI37</f>
        <v>77416675</v>
      </c>
      <c r="AJ42" s="15">
        <f t="shared" ref="AJ42" si="15">AJ28+AJ29+AJ30+AJ33+AJ35+AJ36+AJ38+AJ41+AJ37</f>
        <v>75842105</v>
      </c>
      <c r="AK42" s="15">
        <f>AK28+AK29+AK30+AK33+AK35+AK36+AK38+AK41+AK37</f>
        <v>77736274</v>
      </c>
      <c r="AL42" s="15">
        <f>AL28+AL29+AL30+AL33+AL35+AL36+AL38+AL41+AL37+AL34</f>
        <v>80884544</v>
      </c>
      <c r="AM42" s="15">
        <f>AM28+AM29+AM30+AM33+AM35+AM36+AM38+AM41+AM37+AM34</f>
        <v>81561463</v>
      </c>
    </row>
    <row r="43" spans="1:39" ht="13" customHeight="1">
      <c r="A43" s="5" t="s">
        <v>181</v>
      </c>
      <c r="B43" s="5" t="s">
        <v>43</v>
      </c>
      <c r="C43" s="14">
        <v>725216</v>
      </c>
      <c r="D43" s="11">
        <v>726812</v>
      </c>
      <c r="E43" s="14">
        <v>727076</v>
      </c>
      <c r="F43" s="11">
        <v>727075</v>
      </c>
      <c r="G43" s="14">
        <v>727075</v>
      </c>
      <c r="H43" s="11">
        <v>1292577</v>
      </c>
      <c r="I43" s="14">
        <v>1292577</v>
      </c>
      <c r="J43" s="11">
        <v>1292578</v>
      </c>
      <c r="K43" s="14">
        <v>1292578</v>
      </c>
      <c r="L43" s="11">
        <v>1292578</v>
      </c>
      <c r="M43" s="14">
        <v>1292578</v>
      </c>
      <c r="N43" s="11">
        <v>1292636</v>
      </c>
      <c r="O43" s="11">
        <v>1292788</v>
      </c>
      <c r="P43" s="14">
        <v>1304587</v>
      </c>
      <c r="Q43" s="11">
        <v>1305187</v>
      </c>
      <c r="R43" s="14">
        <v>1305540</v>
      </c>
      <c r="S43" s="11">
        <v>1305540</v>
      </c>
      <c r="T43" s="14">
        <v>1305540</v>
      </c>
      <c r="U43" s="11">
        <v>1305540</v>
      </c>
      <c r="V43" s="14">
        <v>1305540</v>
      </c>
      <c r="W43" s="11">
        <v>1305540</v>
      </c>
      <c r="X43" s="14">
        <v>1305540</v>
      </c>
      <c r="Y43" s="11">
        <v>1305540</v>
      </c>
      <c r="Z43" s="14">
        <v>1305540</v>
      </c>
      <c r="AA43" s="11">
        <v>1305540</v>
      </c>
      <c r="AB43" s="14">
        <v>1305540</v>
      </c>
      <c r="AC43" s="77">
        <v>1305540</v>
      </c>
      <c r="AD43" s="14">
        <v>1305540</v>
      </c>
      <c r="AE43" s="77">
        <v>1305540</v>
      </c>
      <c r="AF43" s="14">
        <v>1305540</v>
      </c>
      <c r="AG43" s="77">
        <v>1305540</v>
      </c>
      <c r="AH43" s="14">
        <v>1305540</v>
      </c>
      <c r="AI43" s="77">
        <v>1305540</v>
      </c>
      <c r="AJ43" s="14">
        <v>1305540</v>
      </c>
      <c r="AK43" s="77">
        <v>1305540</v>
      </c>
      <c r="AL43" s="14">
        <v>1305540</v>
      </c>
      <c r="AM43" s="77">
        <v>1305540</v>
      </c>
    </row>
    <row r="44" spans="1:39" ht="13" customHeight="1">
      <c r="A44" s="5" t="s">
        <v>182</v>
      </c>
      <c r="B44" s="5" t="s">
        <v>44</v>
      </c>
      <c r="C44" s="14">
        <v>1934025</v>
      </c>
      <c r="D44" s="11">
        <v>2278384</v>
      </c>
      <c r="E44" s="14">
        <v>2279758</v>
      </c>
      <c r="F44" s="11">
        <v>2279843</v>
      </c>
      <c r="G44" s="14">
        <v>2591258</v>
      </c>
      <c r="H44" s="11">
        <v>4172467</v>
      </c>
      <c r="I44" s="14">
        <v>4172359</v>
      </c>
      <c r="J44" s="11">
        <v>4185843</v>
      </c>
      <c r="K44" s="14">
        <v>4185843</v>
      </c>
      <c r="L44" s="11">
        <v>4819745</v>
      </c>
      <c r="M44" s="14">
        <v>4820048</v>
      </c>
      <c r="N44" s="11">
        <v>4820048</v>
      </c>
      <c r="O44" s="11">
        <v>4820837</v>
      </c>
      <c r="P44" s="14">
        <v>5385004</v>
      </c>
      <c r="Q44" s="11">
        <v>5385004</v>
      </c>
      <c r="R44" s="14">
        <v>5386828</v>
      </c>
      <c r="S44" s="11">
        <v>5386828</v>
      </c>
      <c r="T44" s="14">
        <v>5393358</v>
      </c>
      <c r="U44" s="11">
        <v>5393358</v>
      </c>
      <c r="V44" s="14">
        <v>5393358</v>
      </c>
      <c r="W44" s="11">
        <v>5393358</v>
      </c>
      <c r="X44" s="14">
        <v>5399627</v>
      </c>
      <c r="Y44" s="11">
        <v>5399627</v>
      </c>
      <c r="Z44" s="14">
        <v>5399627</v>
      </c>
      <c r="AA44" s="11">
        <v>5399627</v>
      </c>
      <c r="AB44" s="14">
        <v>5403661</v>
      </c>
      <c r="AC44" s="77">
        <v>5403661</v>
      </c>
      <c r="AD44" s="14">
        <v>5403849</v>
      </c>
      <c r="AE44" s="77">
        <v>5403849</v>
      </c>
      <c r="AF44" s="14">
        <v>5406878</v>
      </c>
      <c r="AG44" s="77">
        <v>5407101</v>
      </c>
      <c r="AH44" s="14">
        <v>5407101</v>
      </c>
      <c r="AI44" s="77">
        <v>5407101</v>
      </c>
      <c r="AJ44" s="14">
        <v>6026336</v>
      </c>
      <c r="AK44" s="77">
        <v>6027552</v>
      </c>
      <c r="AL44" s="14">
        <v>6027552</v>
      </c>
      <c r="AM44" s="77">
        <v>6027552</v>
      </c>
    </row>
    <row r="45" spans="1:39" ht="13" customHeight="1">
      <c r="A45" s="5" t="s">
        <v>183</v>
      </c>
      <c r="B45" s="5" t="s">
        <v>45</v>
      </c>
      <c r="C45" s="14">
        <v>34018</v>
      </c>
      <c r="D45" s="11">
        <v>-22724</v>
      </c>
      <c r="E45" s="14">
        <v>8989</v>
      </c>
      <c r="F45" s="11">
        <v>15215</v>
      </c>
      <c r="G45" s="14">
        <v>22606</v>
      </c>
      <c r="H45" s="11">
        <v>-3280</v>
      </c>
      <c r="I45" s="14">
        <v>-13874</v>
      </c>
      <c r="J45" s="11">
        <v>-71615</v>
      </c>
      <c r="K45" s="14">
        <v>-44281</v>
      </c>
      <c r="L45" s="11">
        <v>-31339</v>
      </c>
      <c r="M45" s="14">
        <v>3566</v>
      </c>
      <c r="N45" s="11">
        <v>13944</v>
      </c>
      <c r="O45" s="11">
        <v>90245</v>
      </c>
      <c r="P45" s="14">
        <v>64448</v>
      </c>
      <c r="Q45" s="11">
        <v>47113</v>
      </c>
      <c r="R45" s="14">
        <v>52164</v>
      </c>
      <c r="S45" s="11">
        <v>3425</v>
      </c>
      <c r="T45" s="14">
        <v>62090</v>
      </c>
      <c r="U45" s="11">
        <v>72928</v>
      </c>
      <c r="V45" s="14">
        <v>76404</v>
      </c>
      <c r="W45" s="11">
        <v>67952</v>
      </c>
      <c r="X45" s="14">
        <v>220693</v>
      </c>
      <c r="Y45" s="11">
        <v>237582</v>
      </c>
      <c r="Z45" s="14">
        <v>217330</v>
      </c>
      <c r="AA45" s="11">
        <v>93908</v>
      </c>
      <c r="AB45" s="14">
        <v>5979</v>
      </c>
      <c r="AC45" s="77">
        <v>-125188</v>
      </c>
      <c r="AD45" s="14">
        <v>-906659</v>
      </c>
      <c r="AE45" s="77">
        <v>-1415421</v>
      </c>
      <c r="AF45" s="14">
        <v>-1890036</v>
      </c>
      <c r="AG45" s="77">
        <v>-1701356</v>
      </c>
      <c r="AH45" s="14">
        <v>-1339433</v>
      </c>
      <c r="AI45" s="77">
        <v>-965962</v>
      </c>
      <c r="AJ45" s="14">
        <v>-696488</v>
      </c>
      <c r="AK45" s="77">
        <v>-367898</v>
      </c>
      <c r="AL45" s="14">
        <v>-291439</v>
      </c>
      <c r="AM45" s="77">
        <v>-298914</v>
      </c>
    </row>
    <row r="46" spans="1:39" ht="13" customHeight="1">
      <c r="A46" s="5" t="s">
        <v>184</v>
      </c>
      <c r="B46" s="5" t="s">
        <v>46</v>
      </c>
      <c r="C46" s="14">
        <v>184917</v>
      </c>
      <c r="D46" s="11">
        <v>185762</v>
      </c>
      <c r="E46" s="14">
        <v>186671</v>
      </c>
      <c r="F46" s="11">
        <v>184735</v>
      </c>
      <c r="G46" s="14">
        <v>184735</v>
      </c>
      <c r="H46" s="11">
        <v>183803</v>
      </c>
      <c r="I46" s="14">
        <v>183803</v>
      </c>
      <c r="J46" s="11">
        <v>183957</v>
      </c>
      <c r="K46" s="14">
        <v>183957</v>
      </c>
      <c r="L46" s="11">
        <v>183824</v>
      </c>
      <c r="M46" s="14">
        <v>183882</v>
      </c>
      <c r="N46" s="11">
        <v>183824</v>
      </c>
      <c r="O46" s="11">
        <v>186318</v>
      </c>
      <c r="P46" s="14">
        <v>172839</v>
      </c>
      <c r="Q46" s="11">
        <v>174429</v>
      </c>
      <c r="R46" s="14">
        <v>171629</v>
      </c>
      <c r="S46" s="11">
        <v>171629</v>
      </c>
      <c r="T46" s="14">
        <v>171629</v>
      </c>
      <c r="U46" s="11">
        <v>171629</v>
      </c>
      <c r="V46" s="14">
        <v>166850</v>
      </c>
      <c r="W46" s="11">
        <v>166850</v>
      </c>
      <c r="X46" s="14">
        <v>166850</v>
      </c>
      <c r="Y46" s="11">
        <v>166850</v>
      </c>
      <c r="Z46" s="14">
        <v>161792</v>
      </c>
      <c r="AA46" s="11">
        <v>161792</v>
      </c>
      <c r="AB46" s="14">
        <v>161792</v>
      </c>
      <c r="AC46" s="77">
        <v>161788</v>
      </c>
      <c r="AD46" s="14">
        <v>161788</v>
      </c>
      <c r="AE46" s="77">
        <v>161792</v>
      </c>
      <c r="AF46" s="14">
        <v>161792</v>
      </c>
      <c r="AG46" s="77">
        <v>161792</v>
      </c>
      <c r="AH46" s="14">
        <v>161792</v>
      </c>
      <c r="AI46" s="77">
        <v>161792</v>
      </c>
      <c r="AJ46" s="14">
        <v>161792</v>
      </c>
      <c r="AK46" s="77">
        <v>161792</v>
      </c>
      <c r="AL46" s="14">
        <v>161792</v>
      </c>
      <c r="AM46" s="77">
        <v>161792</v>
      </c>
    </row>
    <row r="47" spans="1:39" ht="13" customHeight="1">
      <c r="A47" s="5" t="s">
        <v>501</v>
      </c>
      <c r="B47" s="5" t="s">
        <v>47</v>
      </c>
      <c r="C47" s="14">
        <v>0</v>
      </c>
      <c r="D47" s="11">
        <v>0</v>
      </c>
      <c r="E47" s="14">
        <v>0</v>
      </c>
      <c r="F47" s="11">
        <v>0</v>
      </c>
      <c r="G47" s="14">
        <v>0</v>
      </c>
      <c r="H47" s="11">
        <v>0</v>
      </c>
      <c r="I47" s="14">
        <v>16</v>
      </c>
      <c r="J47" s="11">
        <v>-22</v>
      </c>
      <c r="K47" s="14">
        <v>50</v>
      </c>
      <c r="L47" s="11">
        <v>55</v>
      </c>
      <c r="M47" s="14">
        <v>3</v>
      </c>
      <c r="N47" s="11">
        <v>594</v>
      </c>
      <c r="O47" s="11">
        <v>-21</v>
      </c>
      <c r="P47" s="14">
        <v>-230</v>
      </c>
      <c r="Q47" s="11">
        <v>-6</v>
      </c>
      <c r="R47" s="14">
        <v>-202</v>
      </c>
      <c r="S47" s="11">
        <v>38</v>
      </c>
      <c r="T47" s="14">
        <v>109</v>
      </c>
      <c r="U47" s="11">
        <v>-341</v>
      </c>
      <c r="V47" s="14">
        <v>605</v>
      </c>
      <c r="W47" s="11">
        <v>-627</v>
      </c>
      <c r="X47" s="14">
        <v>-158</v>
      </c>
      <c r="Y47" s="11">
        <v>-508</v>
      </c>
      <c r="Z47" s="14">
        <v>-1620</v>
      </c>
      <c r="AA47" s="11">
        <v>-172</v>
      </c>
      <c r="AB47" s="14">
        <v>284</v>
      </c>
      <c r="AC47" s="77">
        <v>-414</v>
      </c>
      <c r="AD47" s="14">
        <v>-43</v>
      </c>
      <c r="AE47" s="77">
        <v>22</v>
      </c>
      <c r="AF47" s="14">
        <v>-235</v>
      </c>
      <c r="AG47" s="77">
        <v>-1640</v>
      </c>
      <c r="AH47" s="14">
        <v>283</v>
      </c>
      <c r="AI47" s="77">
        <v>39</v>
      </c>
      <c r="AJ47" s="14">
        <v>1368</v>
      </c>
      <c r="AK47" s="77">
        <v>106</v>
      </c>
      <c r="AL47" s="14">
        <v>2252</v>
      </c>
      <c r="AM47" s="77">
        <v>16</v>
      </c>
    </row>
    <row r="48" spans="1:39" ht="13" customHeight="1">
      <c r="A48" s="5" t="s">
        <v>185</v>
      </c>
      <c r="B48" s="5" t="s">
        <v>48</v>
      </c>
      <c r="C48" s="14">
        <v>337522</v>
      </c>
      <c r="D48" s="11">
        <v>-3608</v>
      </c>
      <c r="E48" s="14">
        <v>-3641</v>
      </c>
      <c r="F48" s="11">
        <v>-3657</v>
      </c>
      <c r="G48" s="14">
        <v>-5424</v>
      </c>
      <c r="H48" s="11">
        <v>-7085</v>
      </c>
      <c r="I48" s="14">
        <v>-7085</v>
      </c>
      <c r="J48" s="11">
        <v>-7085</v>
      </c>
      <c r="K48" s="14">
        <f>611193-19572+2977</f>
        <v>594598</v>
      </c>
      <c r="L48" s="11">
        <f>-59035-26819</f>
        <v>-85854</v>
      </c>
      <c r="M48" s="14">
        <v>-92579</v>
      </c>
      <c r="N48" s="11">
        <v>-92579</v>
      </c>
      <c r="O48" s="11">
        <v>-651267</v>
      </c>
      <c r="P48" s="14">
        <v>-1147840</v>
      </c>
      <c r="Q48" s="11">
        <v>-1148125</v>
      </c>
      <c r="R48" s="14">
        <v>-1143409</v>
      </c>
      <c r="S48" s="11">
        <v>-430189</v>
      </c>
      <c r="T48" s="14">
        <v>-436524</v>
      </c>
      <c r="U48" s="11">
        <v>-436524</v>
      </c>
      <c r="V48" s="14">
        <v>-453669</v>
      </c>
      <c r="W48" s="11">
        <v>-183996</v>
      </c>
      <c r="X48" s="14">
        <v>-211834</v>
      </c>
      <c r="Y48" s="11">
        <v>-211834</v>
      </c>
      <c r="Z48" s="14">
        <v>-211834</v>
      </c>
      <c r="AA48" s="11">
        <v>-522681</v>
      </c>
      <c r="AB48" s="14">
        <v>-526973</v>
      </c>
      <c r="AC48" s="77">
        <v>-527012</v>
      </c>
      <c r="AD48" s="14">
        <v>-527198</v>
      </c>
      <c r="AE48" s="77">
        <v>-45277</v>
      </c>
      <c r="AF48" s="14">
        <v>-48306</v>
      </c>
      <c r="AG48" s="77">
        <v>-48529</v>
      </c>
      <c r="AH48" s="14">
        <v>-48529</v>
      </c>
      <c r="AI48" s="77">
        <v>634207</v>
      </c>
      <c r="AJ48" s="14">
        <v>14984</v>
      </c>
      <c r="AK48" s="77">
        <v>13768</v>
      </c>
      <c r="AL48" s="14">
        <v>13768</v>
      </c>
      <c r="AM48" s="77">
        <v>2043890</v>
      </c>
    </row>
    <row r="49" spans="1:39" ht="13" customHeight="1">
      <c r="A49" s="5" t="s">
        <v>502</v>
      </c>
      <c r="B49" s="5" t="s">
        <v>513</v>
      </c>
      <c r="C49" s="14">
        <v>91224</v>
      </c>
      <c r="D49" s="11">
        <v>179035</v>
      </c>
      <c r="E49" s="14">
        <v>270022</v>
      </c>
      <c r="F49" s="11">
        <v>309648</v>
      </c>
      <c r="G49" s="14">
        <v>80227</v>
      </c>
      <c r="H49" s="11">
        <v>161888</v>
      </c>
      <c r="I49" s="14">
        <v>248827</v>
      </c>
      <c r="J49" s="11">
        <v>575227</v>
      </c>
      <c r="K49" s="14">
        <f>82361-20236</f>
        <v>62125</v>
      </c>
      <c r="L49" s="11">
        <f>182311-20426</f>
        <v>161885</v>
      </c>
      <c r="M49" s="14">
        <v>340061</v>
      </c>
      <c r="N49" s="11">
        <v>471194</v>
      </c>
      <c r="O49" s="11">
        <v>154460</v>
      </c>
      <c r="P49" s="14">
        <v>354293</v>
      </c>
      <c r="Q49" s="11">
        <v>531110</v>
      </c>
      <c r="R49" s="14">
        <v>713373</v>
      </c>
      <c r="S49" s="11">
        <v>122041</v>
      </c>
      <c r="T49" s="14">
        <v>157799</v>
      </c>
      <c r="U49" s="11">
        <v>272739</v>
      </c>
      <c r="V49" s="14">
        <v>248280</v>
      </c>
      <c r="W49" s="11">
        <v>73235</v>
      </c>
      <c r="X49" s="14">
        <v>-513367</v>
      </c>
      <c r="Y49" s="11">
        <v>-431581</v>
      </c>
      <c r="Z49" s="14">
        <v>-311233</v>
      </c>
      <c r="AA49" s="11">
        <v>108094</v>
      </c>
      <c r="AB49" s="14">
        <v>231905</v>
      </c>
      <c r="AC49" s="77">
        <v>382287</v>
      </c>
      <c r="AD49" s="14">
        <v>481925</v>
      </c>
      <c r="AE49" s="77">
        <v>169170</v>
      </c>
      <c r="AF49" s="14">
        <v>385384</v>
      </c>
      <c r="AG49" s="77">
        <v>322823</v>
      </c>
      <c r="AH49" s="14">
        <v>683111</v>
      </c>
      <c r="AI49" s="77">
        <v>365784</v>
      </c>
      <c r="AJ49" s="14">
        <v>871851</v>
      </c>
      <c r="AK49" s="77">
        <v>1443412</v>
      </c>
      <c r="AL49" s="14">
        <v>2030125</v>
      </c>
      <c r="AM49" s="77">
        <v>578125</v>
      </c>
    </row>
    <row r="50" spans="1:39" ht="13" customHeight="1" thickBot="1">
      <c r="A50" s="5" t="s">
        <v>186</v>
      </c>
      <c r="B50" s="5" t="s">
        <v>49</v>
      </c>
      <c r="C50" s="14">
        <v>15080</v>
      </c>
      <c r="D50" s="11">
        <v>1560</v>
      </c>
      <c r="E50" s="14">
        <v>1461</v>
      </c>
      <c r="F50" s="11">
        <v>1240</v>
      </c>
      <c r="G50" s="14">
        <v>1114.5291504909401</v>
      </c>
      <c r="H50" s="11">
        <v>987</v>
      </c>
      <c r="I50" s="14">
        <v>985</v>
      </c>
      <c r="J50" s="11">
        <v>979</v>
      </c>
      <c r="K50" s="14">
        <v>1023</v>
      </c>
      <c r="L50" s="11">
        <v>1019</v>
      </c>
      <c r="M50" s="14">
        <v>1109</v>
      </c>
      <c r="N50" s="11">
        <v>1322</v>
      </c>
      <c r="O50" s="11">
        <v>263</v>
      </c>
      <c r="P50" s="14">
        <v>0</v>
      </c>
      <c r="Q50" s="11">
        <v>0</v>
      </c>
      <c r="R50" s="14">
        <v>0</v>
      </c>
      <c r="S50" s="11">
        <v>0</v>
      </c>
      <c r="T50" s="14">
        <v>0</v>
      </c>
      <c r="U50" s="11">
        <v>0</v>
      </c>
      <c r="V50" s="14">
        <v>0</v>
      </c>
      <c r="W50" s="11">
        <v>0</v>
      </c>
      <c r="X50" s="14">
        <v>0</v>
      </c>
      <c r="Y50" s="11">
        <v>0</v>
      </c>
      <c r="Z50" s="14">
        <v>0</v>
      </c>
      <c r="AA50" s="11">
        <v>0</v>
      </c>
      <c r="AB50" s="14">
        <v>0</v>
      </c>
      <c r="AC50" s="77">
        <v>0</v>
      </c>
      <c r="AD50" s="14">
        <v>0</v>
      </c>
      <c r="AE50" s="77">
        <v>0</v>
      </c>
      <c r="AF50" s="14">
        <v>0</v>
      </c>
      <c r="AG50" s="77">
        <v>0</v>
      </c>
      <c r="AH50" s="14">
        <v>0</v>
      </c>
      <c r="AI50" s="77">
        <v>0</v>
      </c>
      <c r="AJ50" s="14">
        <v>0</v>
      </c>
      <c r="AK50" s="77">
        <v>0</v>
      </c>
      <c r="AL50" s="14">
        <v>0</v>
      </c>
      <c r="AM50" s="77">
        <v>0</v>
      </c>
    </row>
    <row r="51" spans="1:39" ht="13" customHeight="1" thickBot="1">
      <c r="A51" s="12" t="s">
        <v>187</v>
      </c>
      <c r="B51" s="12" t="s">
        <v>33</v>
      </c>
      <c r="C51" s="15">
        <f t="shared" ref="C51:L51" si="16">SUM(C43:C50)</f>
        <v>3322002</v>
      </c>
      <c r="D51" s="15">
        <f t="shared" si="16"/>
        <v>3345221</v>
      </c>
      <c r="E51" s="15">
        <f t="shared" si="16"/>
        <v>3470336</v>
      </c>
      <c r="F51" s="15">
        <f t="shared" si="16"/>
        <v>3514099</v>
      </c>
      <c r="G51" s="15">
        <f t="shared" si="16"/>
        <v>3601591.5291504911</v>
      </c>
      <c r="H51" s="15">
        <f t="shared" si="16"/>
        <v>5801357</v>
      </c>
      <c r="I51" s="15">
        <f t="shared" si="16"/>
        <v>5877608</v>
      </c>
      <c r="J51" s="15">
        <f t="shared" si="16"/>
        <v>6159862</v>
      </c>
      <c r="K51" s="15">
        <f t="shared" si="16"/>
        <v>6275893</v>
      </c>
      <c r="L51" s="15">
        <f t="shared" si="16"/>
        <v>6341913</v>
      </c>
      <c r="M51" s="15">
        <f>SUM(M43:M50)</f>
        <v>6548668</v>
      </c>
      <c r="N51" s="15">
        <f t="shared" ref="N51:U51" si="17">SUM(N43:N50)</f>
        <v>6690983</v>
      </c>
      <c r="O51" s="15">
        <f t="shared" si="17"/>
        <v>5893623</v>
      </c>
      <c r="P51" s="15">
        <f t="shared" si="17"/>
        <v>6133101</v>
      </c>
      <c r="Q51" s="15">
        <f t="shared" si="17"/>
        <v>6294712</v>
      </c>
      <c r="R51" s="15">
        <f t="shared" si="17"/>
        <v>6485923</v>
      </c>
      <c r="S51" s="15">
        <f t="shared" si="17"/>
        <v>6559312</v>
      </c>
      <c r="T51" s="15">
        <f t="shared" si="17"/>
        <v>6654001</v>
      </c>
      <c r="U51" s="15">
        <f t="shared" si="17"/>
        <v>6779329</v>
      </c>
      <c r="V51" s="15">
        <v>6737368</v>
      </c>
      <c r="W51" s="15">
        <f>W43+W44+W45+W46+W47+W48+W49</f>
        <v>6822312</v>
      </c>
      <c r="X51" s="15">
        <f>X43+X44+X45+X46+X47+X48+X49</f>
        <v>6367351</v>
      </c>
      <c r="Y51" s="15">
        <v>6465676</v>
      </c>
      <c r="Z51" s="15">
        <f t="shared" ref="Z51:AE51" si="18">Z43+Z44+Z45+Z46+Z47+Z48+Z49</f>
        <v>6559602</v>
      </c>
      <c r="AA51" s="15">
        <f t="shared" si="18"/>
        <v>6546108</v>
      </c>
      <c r="AB51" s="15">
        <f t="shared" si="18"/>
        <v>6582188</v>
      </c>
      <c r="AC51" s="15">
        <f t="shared" si="18"/>
        <v>6600662</v>
      </c>
      <c r="AD51" s="15">
        <f t="shared" si="18"/>
        <v>5919202</v>
      </c>
      <c r="AE51" s="15">
        <f t="shared" si="18"/>
        <v>5579675</v>
      </c>
      <c r="AF51" s="15">
        <f t="shared" ref="AF51:AG51" si="19">AF43+AF44+AF45+AF46+AF47+AF48+AF49</f>
        <v>5321017</v>
      </c>
      <c r="AG51" s="15">
        <f t="shared" si="19"/>
        <v>5445731</v>
      </c>
      <c r="AH51" s="15">
        <f t="shared" ref="AH51:AJ51" si="20">AH43+AH44+AH45+AH46+AH47+AH48+AH49</f>
        <v>6169865</v>
      </c>
      <c r="AI51" s="15">
        <f t="shared" si="20"/>
        <v>6908501</v>
      </c>
      <c r="AJ51" s="15">
        <f t="shared" si="20"/>
        <v>7685383</v>
      </c>
      <c r="AK51" s="15">
        <f t="shared" ref="AK51:AL51" si="21">AK43+AK44+AK45+AK46+AK47+AK48+AK49</f>
        <v>8584272</v>
      </c>
      <c r="AL51" s="15">
        <f t="shared" si="21"/>
        <v>9249590</v>
      </c>
      <c r="AM51" s="15">
        <f>AM43+AM44+AM45+AM46+AM47+AM48+AM49</f>
        <v>9818001</v>
      </c>
    </row>
    <row r="52" spans="1:39" ht="13" customHeight="1" thickBot="1">
      <c r="A52" s="12" t="s">
        <v>188</v>
      </c>
      <c r="B52" s="12" t="s">
        <v>36</v>
      </c>
      <c r="C52" s="15">
        <f t="shared" ref="C52:U52" si="22">C51+C42</f>
        <v>34886136</v>
      </c>
      <c r="D52" s="15">
        <f t="shared" si="22"/>
        <v>36466760</v>
      </c>
      <c r="E52" s="15">
        <f t="shared" si="22"/>
        <v>37304260</v>
      </c>
      <c r="F52" s="15">
        <f t="shared" si="22"/>
        <v>40003010</v>
      </c>
      <c r="G52" s="15">
        <f t="shared" si="22"/>
        <v>42025694.529150493</v>
      </c>
      <c r="H52" s="15">
        <f t="shared" si="22"/>
        <v>47041752</v>
      </c>
      <c r="I52" s="15">
        <f t="shared" si="22"/>
        <v>46581539</v>
      </c>
      <c r="J52" s="15">
        <f t="shared" si="22"/>
        <v>61160491</v>
      </c>
      <c r="K52" s="15">
        <f t="shared" si="22"/>
        <v>60439837</v>
      </c>
      <c r="L52" s="15">
        <f t="shared" si="22"/>
        <v>61858805</v>
      </c>
      <c r="M52" s="15">
        <f t="shared" si="22"/>
        <v>65062093</v>
      </c>
      <c r="N52" s="15">
        <f t="shared" si="22"/>
        <v>69515982</v>
      </c>
      <c r="O52" s="15">
        <f t="shared" si="22"/>
        <v>70355779</v>
      </c>
      <c r="P52" s="15">
        <f t="shared" si="22"/>
        <v>70337259</v>
      </c>
      <c r="Q52" s="15">
        <f t="shared" si="22"/>
        <v>71167223</v>
      </c>
      <c r="R52" s="15">
        <f t="shared" si="22"/>
        <v>73419887</v>
      </c>
      <c r="S52" s="15">
        <f t="shared" si="22"/>
        <v>74638883</v>
      </c>
      <c r="T52" s="15">
        <f t="shared" si="22"/>
        <v>77058388</v>
      </c>
      <c r="U52" s="15">
        <f t="shared" si="22"/>
        <v>76983674</v>
      </c>
      <c r="V52" s="15">
        <v>76714137</v>
      </c>
      <c r="W52" s="15">
        <f>W42+W51</f>
        <v>76512233</v>
      </c>
      <c r="X52" s="15">
        <f>X42+X51</f>
        <v>77671909</v>
      </c>
      <c r="Y52" s="15">
        <v>77717339</v>
      </c>
      <c r="Z52" s="15">
        <f t="shared" ref="Z52:AE52" si="23">Z42+Z51</f>
        <v>78642032</v>
      </c>
      <c r="AA52" s="15">
        <f t="shared" si="23"/>
        <v>79880618</v>
      </c>
      <c r="AB52" s="15">
        <f t="shared" si="23"/>
        <v>79035095</v>
      </c>
      <c r="AC52" s="15">
        <f t="shared" si="23"/>
        <v>78201942</v>
      </c>
      <c r="AD52" s="15">
        <f t="shared" si="23"/>
        <v>83048372</v>
      </c>
      <c r="AE52" s="15">
        <f t="shared" si="23"/>
        <v>84649724</v>
      </c>
      <c r="AF52" s="15">
        <f t="shared" ref="AF52:AG52" si="24">AF42+AF51</f>
        <v>84223458</v>
      </c>
      <c r="AG52" s="15">
        <f t="shared" si="24"/>
        <v>84070674</v>
      </c>
      <c r="AH52" s="15">
        <f t="shared" ref="AH52:AJ52" si="25">AH42+AH51</f>
        <v>82877172</v>
      </c>
      <c r="AI52" s="15">
        <f t="shared" si="25"/>
        <v>84325176</v>
      </c>
      <c r="AJ52" s="15">
        <f t="shared" si="25"/>
        <v>83527488</v>
      </c>
      <c r="AK52" s="15">
        <f t="shared" ref="AK52:AL52" si="26">AK42+AK51</f>
        <v>86320546</v>
      </c>
      <c r="AL52" s="15">
        <f t="shared" si="26"/>
        <v>90134134</v>
      </c>
      <c r="AM52" s="15">
        <f>AM42+AM51</f>
        <v>91379464</v>
      </c>
    </row>
    <row r="53" spans="1:39" ht="57.5">
      <c r="V53" s="16" t="s">
        <v>460</v>
      </c>
      <c r="X53" s="16"/>
      <c r="Z53" s="16"/>
      <c r="AB53" s="62"/>
      <c r="AC53" s="62"/>
    </row>
    <row r="54" spans="1:39" ht="149.5">
      <c r="V54" s="16" t="s">
        <v>318</v>
      </c>
      <c r="X54" s="16"/>
      <c r="Z54" s="16"/>
      <c r="AB54" s="62"/>
      <c r="AC54" s="62"/>
    </row>
    <row r="58" spans="1:39">
      <c r="V58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M59"/>
  <sheetViews>
    <sheetView zoomScaleNormal="100" workbookViewId="0">
      <pane xSplit="2" ySplit="2" topLeftCell="AG29" activePane="bottomRight" state="frozen"/>
      <selection sqref="A1:B1048576"/>
      <selection pane="topRight" sqref="A1:B1048576"/>
      <selection pane="bottomLeft" sqref="A1:B1048576"/>
      <selection pane="bottomRight" activeCell="AI20" sqref="AI20"/>
    </sheetView>
  </sheetViews>
  <sheetFormatPr defaultColWidth="9.33203125" defaultRowHeight="11.5"/>
  <cols>
    <col min="1" max="2" width="50.6640625" style="2" customWidth="1"/>
    <col min="3" max="13" width="10.6640625" style="2" customWidth="1"/>
    <col min="14" max="14" width="10.6640625" style="19" customWidth="1"/>
    <col min="15" max="16" width="10.6640625" style="2" customWidth="1"/>
    <col min="17" max="30" width="10.6640625" style="19" customWidth="1"/>
    <col min="31" max="37" width="10.6640625" style="2" customWidth="1"/>
    <col min="38" max="38" width="9.33203125" style="2"/>
    <col min="39" max="39" width="10.6640625" style="2" customWidth="1"/>
    <col min="40" max="16384" width="9.332031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</row>
    <row r="2" spans="1:39" ht="13" customHeight="1" thickBot="1">
      <c r="A2" s="111" t="s">
        <v>577</v>
      </c>
      <c r="B2" s="111" t="s">
        <v>576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</row>
    <row r="3" spans="1:39" ht="13" customHeight="1">
      <c r="A3" s="112" t="s">
        <v>195</v>
      </c>
      <c r="B3" s="112" t="s">
        <v>697</v>
      </c>
      <c r="C3" s="20">
        <v>556125</v>
      </c>
      <c r="D3" s="21">
        <v>596336</v>
      </c>
      <c r="E3" s="20">
        <v>614421</v>
      </c>
      <c r="F3" s="21">
        <v>632338</v>
      </c>
      <c r="G3" s="20">
        <v>578002</v>
      </c>
      <c r="H3" s="21">
        <v>614131</v>
      </c>
      <c r="I3" s="20">
        <v>655890</v>
      </c>
      <c r="J3" s="21">
        <v>795858</v>
      </c>
      <c r="K3" s="20">
        <v>867326</v>
      </c>
      <c r="L3" s="21">
        <v>892704</v>
      </c>
      <c r="M3" s="20">
        <v>903610</v>
      </c>
      <c r="N3" s="21">
        <v>937491</v>
      </c>
      <c r="O3" s="20">
        <v>912897</v>
      </c>
      <c r="P3" s="21">
        <v>939599</v>
      </c>
      <c r="Q3" s="20">
        <v>957980</v>
      </c>
      <c r="R3" s="21">
        <f>982068+12913</f>
        <v>994981</v>
      </c>
      <c r="S3" s="17">
        <v>986612</v>
      </c>
      <c r="T3" s="21">
        <v>1010905</v>
      </c>
      <c r="U3" s="20">
        <v>985175</v>
      </c>
      <c r="V3" s="21">
        <v>925973</v>
      </c>
      <c r="W3" s="20">
        <v>937951</v>
      </c>
      <c r="X3" s="21">
        <v>821385</v>
      </c>
      <c r="Y3" s="20">
        <v>726585</v>
      </c>
      <c r="Z3" s="21">
        <v>675492</v>
      </c>
      <c r="AA3" s="20">
        <v>682536</v>
      </c>
      <c r="AB3" s="21">
        <v>669132</v>
      </c>
      <c r="AC3" s="20">
        <v>697571</v>
      </c>
      <c r="AD3" s="21">
        <v>788065</v>
      </c>
      <c r="AE3" s="20">
        <v>1023103</v>
      </c>
      <c r="AF3" s="21">
        <v>1339506</v>
      </c>
      <c r="AG3" s="20">
        <v>1155451</v>
      </c>
      <c r="AH3" s="21">
        <v>1444565</v>
      </c>
      <c r="AI3" s="20">
        <v>1661479</v>
      </c>
      <c r="AJ3" s="21">
        <v>1689055</v>
      </c>
      <c r="AK3" s="20">
        <v>1737009</v>
      </c>
      <c r="AL3" s="21">
        <v>1726647</v>
      </c>
      <c r="AM3" s="20">
        <v>1681564</v>
      </c>
    </row>
    <row r="4" spans="1:39" ht="13" customHeight="1">
      <c r="A4" s="112" t="s">
        <v>196</v>
      </c>
      <c r="B4" s="112" t="s">
        <v>13</v>
      </c>
      <c r="C4" s="20" t="s">
        <v>97</v>
      </c>
      <c r="D4" s="21" t="s">
        <v>97</v>
      </c>
      <c r="E4" s="20" t="s">
        <v>97</v>
      </c>
      <c r="F4" s="21" t="s">
        <v>97</v>
      </c>
      <c r="G4" s="20" t="s">
        <v>97</v>
      </c>
      <c r="H4" s="21" t="s">
        <v>97</v>
      </c>
      <c r="I4" s="20" t="s">
        <v>97</v>
      </c>
      <c r="J4" s="21" t="s">
        <v>97</v>
      </c>
      <c r="K4" s="20" t="s">
        <v>97</v>
      </c>
      <c r="L4" s="21" t="s">
        <v>97</v>
      </c>
      <c r="M4" s="20" t="s">
        <v>97</v>
      </c>
      <c r="N4" s="21" t="s">
        <v>97</v>
      </c>
      <c r="O4" s="20">
        <v>35078</v>
      </c>
      <c r="P4" s="21">
        <v>52175</v>
      </c>
      <c r="Q4" s="20">
        <v>38463</v>
      </c>
      <c r="R4" s="21">
        <f>38112-12913</f>
        <v>25199</v>
      </c>
      <c r="S4" s="17">
        <v>33474</v>
      </c>
      <c r="T4" s="21">
        <f>Odsetki!T22</f>
        <v>35442</v>
      </c>
      <c r="U4" s="20">
        <f>Odsetki!U22</f>
        <v>44164</v>
      </c>
      <c r="V4" s="21">
        <v>40445</v>
      </c>
      <c r="W4" s="20">
        <v>22486</v>
      </c>
      <c r="X4" s="21">
        <v>38304</v>
      </c>
      <c r="Y4" s="20">
        <v>54324</v>
      </c>
      <c r="Z4" s="21">
        <v>58714</v>
      </c>
      <c r="AA4" s="20">
        <v>62130</v>
      </c>
      <c r="AB4" s="21">
        <v>48787</v>
      </c>
      <c r="AC4" s="20">
        <v>52444</v>
      </c>
      <c r="AD4" s="21">
        <v>35977</v>
      </c>
      <c r="AE4" s="20">
        <v>22660</v>
      </c>
      <c r="AF4" s="21">
        <v>9985</v>
      </c>
      <c r="AG4" s="20">
        <v>27763</v>
      </c>
      <c r="AH4" s="21">
        <v>367133</v>
      </c>
      <c r="AI4" s="20">
        <v>148321</v>
      </c>
      <c r="AJ4" s="21">
        <v>145571</v>
      </c>
      <c r="AK4" s="20">
        <v>150473</v>
      </c>
      <c r="AL4" s="21">
        <v>137414</v>
      </c>
      <c r="AM4" s="20">
        <v>142142</v>
      </c>
    </row>
    <row r="5" spans="1:39" ht="13" customHeight="1">
      <c r="A5" s="112" t="s">
        <v>197</v>
      </c>
      <c r="B5" s="112" t="s">
        <v>0</v>
      </c>
      <c r="C5" s="20">
        <v>-211821</v>
      </c>
      <c r="D5" s="21">
        <v>-222926</v>
      </c>
      <c r="E5" s="20">
        <v>-230697</v>
      </c>
      <c r="F5" s="21">
        <v>-232763</v>
      </c>
      <c r="G5" s="20">
        <v>-165508</v>
      </c>
      <c r="H5" s="21">
        <v>-169958</v>
      </c>
      <c r="I5" s="20">
        <v>-165380</v>
      </c>
      <c r="J5" s="21">
        <v>-196986</v>
      </c>
      <c r="K5" s="20">
        <v>-204313</v>
      </c>
      <c r="L5" s="21">
        <v>-170049</v>
      </c>
      <c r="M5" s="20">
        <v>-175482</v>
      </c>
      <c r="N5" s="21">
        <v>-195146</v>
      </c>
      <c r="O5" s="20">
        <v>-210323</v>
      </c>
      <c r="P5" s="21">
        <v>-228486</v>
      </c>
      <c r="Q5" s="20">
        <v>-213747</v>
      </c>
      <c r="R5" s="21">
        <v>-219292</v>
      </c>
      <c r="S5" s="17">
        <v>-216279</v>
      </c>
      <c r="T5" s="21">
        <v>-217172</v>
      </c>
      <c r="U5" s="20">
        <v>-226328</v>
      </c>
      <c r="V5" s="21">
        <v>-218067</v>
      </c>
      <c r="W5" s="20">
        <v>-183553</v>
      </c>
      <c r="X5" s="21">
        <v>-137708</v>
      </c>
      <c r="Y5" s="20">
        <v>-97794</v>
      </c>
      <c r="Z5" s="21">
        <v>-67460</v>
      </c>
      <c r="AA5" s="20">
        <v>-74488</v>
      </c>
      <c r="AB5" s="21">
        <v>-51260</v>
      </c>
      <c r="AC5" s="20">
        <v>-46495</v>
      </c>
      <c r="AD5" s="21">
        <v>-66165</v>
      </c>
      <c r="AE5" s="20">
        <v>-183412</v>
      </c>
      <c r="AF5" s="21">
        <v>-377730</v>
      </c>
      <c r="AG5" s="20">
        <v>-596539</v>
      </c>
      <c r="AH5" s="21">
        <v>-672614</v>
      </c>
      <c r="AI5" s="20">
        <v>-706738</v>
      </c>
      <c r="AJ5" s="21">
        <v>-673747</v>
      </c>
      <c r="AK5" s="20">
        <v>-668245</v>
      </c>
      <c r="AL5" s="21">
        <v>-574869</v>
      </c>
      <c r="AM5" s="20">
        <v>-554297</v>
      </c>
    </row>
    <row r="6" spans="1:39" ht="13" customHeight="1">
      <c r="A6" s="79" t="s">
        <v>198</v>
      </c>
      <c r="B6" s="79" t="s">
        <v>1</v>
      </c>
      <c r="C6" s="23">
        <f t="shared" ref="C6:R6" si="0">SUM(C3:C5)</f>
        <v>344304</v>
      </c>
      <c r="D6" s="23">
        <f t="shared" si="0"/>
        <v>373410</v>
      </c>
      <c r="E6" s="23">
        <f t="shared" si="0"/>
        <v>383724</v>
      </c>
      <c r="F6" s="23">
        <f t="shared" si="0"/>
        <v>399575</v>
      </c>
      <c r="G6" s="23">
        <f t="shared" si="0"/>
        <v>412494</v>
      </c>
      <c r="H6" s="23">
        <f t="shared" si="0"/>
        <v>444173</v>
      </c>
      <c r="I6" s="23">
        <f t="shared" si="0"/>
        <v>490510</v>
      </c>
      <c r="J6" s="23">
        <f t="shared" si="0"/>
        <v>598872</v>
      </c>
      <c r="K6" s="23">
        <f t="shared" si="0"/>
        <v>663013</v>
      </c>
      <c r="L6" s="23">
        <f t="shared" si="0"/>
        <v>722655</v>
      </c>
      <c r="M6" s="23">
        <f t="shared" si="0"/>
        <v>728128</v>
      </c>
      <c r="N6" s="23">
        <f t="shared" si="0"/>
        <v>742345</v>
      </c>
      <c r="O6" s="23">
        <f t="shared" si="0"/>
        <v>737652</v>
      </c>
      <c r="P6" s="23">
        <f t="shared" si="0"/>
        <v>763288</v>
      </c>
      <c r="Q6" s="23">
        <f t="shared" si="0"/>
        <v>782696</v>
      </c>
      <c r="R6" s="23">
        <f t="shared" si="0"/>
        <v>800888</v>
      </c>
      <c r="S6" s="18">
        <v>803807</v>
      </c>
      <c r="T6" s="23">
        <f>SUM(T3:T5)</f>
        <v>829175</v>
      </c>
      <c r="U6" s="26">
        <f>SUM(U3:U5)</f>
        <v>803011</v>
      </c>
      <c r="V6" s="26">
        <f>SUM(V3:V5)</f>
        <v>748351</v>
      </c>
      <c r="W6" s="26">
        <f>SUM(W3:W5)</f>
        <v>776884</v>
      </c>
      <c r="X6" s="23">
        <v>721981</v>
      </c>
      <c r="Y6" s="26">
        <v>683115</v>
      </c>
      <c r="Z6" s="23">
        <v>666746</v>
      </c>
      <c r="AA6" s="26">
        <f t="shared" ref="AA6:AF6" si="1">SUM(AA3:AA5)</f>
        <v>670178</v>
      </c>
      <c r="AB6" s="26">
        <f t="shared" si="1"/>
        <v>666659</v>
      </c>
      <c r="AC6" s="26">
        <f t="shared" si="1"/>
        <v>703520</v>
      </c>
      <c r="AD6" s="26">
        <f t="shared" si="1"/>
        <v>757877</v>
      </c>
      <c r="AE6" s="26">
        <f t="shared" si="1"/>
        <v>862351</v>
      </c>
      <c r="AF6" s="26">
        <f t="shared" si="1"/>
        <v>971761</v>
      </c>
      <c r="AG6" s="26">
        <f t="shared" ref="AG6:AH6" si="2">SUM(AG3:AG5)</f>
        <v>586675</v>
      </c>
      <c r="AH6" s="26">
        <f t="shared" si="2"/>
        <v>1139084</v>
      </c>
      <c r="AI6" s="26">
        <f t="shared" ref="AI6:AJ6" si="3">SUM(AI3:AI5)</f>
        <v>1103062</v>
      </c>
      <c r="AJ6" s="26">
        <f t="shared" si="3"/>
        <v>1160879</v>
      </c>
      <c r="AK6" s="26">
        <f t="shared" ref="AK6:AL6" si="4">SUM(AK3:AK5)</f>
        <v>1219237</v>
      </c>
      <c r="AL6" s="26">
        <f t="shared" si="4"/>
        <v>1289192</v>
      </c>
      <c r="AM6" s="26">
        <f t="shared" ref="AM6" si="5">SUM(AM3:AM5)</f>
        <v>1269409</v>
      </c>
    </row>
    <row r="7" spans="1:39" ht="13" customHeight="1">
      <c r="A7" s="80" t="s">
        <v>199</v>
      </c>
      <c r="B7" s="80" t="s">
        <v>3</v>
      </c>
      <c r="C7" s="20">
        <v>135582</v>
      </c>
      <c r="D7" s="21">
        <v>124811</v>
      </c>
      <c r="E7" s="20">
        <v>144977</v>
      </c>
      <c r="F7" s="21">
        <v>140360</v>
      </c>
      <c r="G7" s="20">
        <v>137970</v>
      </c>
      <c r="H7" s="21">
        <v>137134</v>
      </c>
      <c r="I7" s="20">
        <v>135490</v>
      </c>
      <c r="J7" s="21">
        <v>180107</v>
      </c>
      <c r="K7" s="20">
        <v>189088</v>
      </c>
      <c r="L7" s="21">
        <v>203275</v>
      </c>
      <c r="M7" s="20">
        <v>201424</v>
      </c>
      <c r="N7" s="21">
        <v>211816</v>
      </c>
      <c r="O7" s="20">
        <v>264369</v>
      </c>
      <c r="P7" s="21">
        <v>265023</v>
      </c>
      <c r="Q7" s="20">
        <v>283467</v>
      </c>
      <c r="R7" s="21">
        <v>286609</v>
      </c>
      <c r="S7" s="17">
        <v>266948</v>
      </c>
      <c r="T7" s="21">
        <v>284261</v>
      </c>
      <c r="U7" s="20">
        <v>302209</v>
      </c>
      <c r="V7" s="21">
        <v>303634</v>
      </c>
      <c r="W7" s="20">
        <v>269347</v>
      </c>
      <c r="X7" s="21">
        <v>294250</v>
      </c>
      <c r="Y7" s="20">
        <v>329428</v>
      </c>
      <c r="Z7" s="21">
        <v>322724</v>
      </c>
      <c r="AA7" s="20">
        <v>316398</v>
      </c>
      <c r="AB7" s="21">
        <v>345200</v>
      </c>
      <c r="AC7" s="20">
        <v>380365</v>
      </c>
      <c r="AD7" s="21">
        <v>399551</v>
      </c>
      <c r="AE7" s="20">
        <v>371419</v>
      </c>
      <c r="AF7" s="21">
        <v>432416</v>
      </c>
      <c r="AG7" s="20">
        <v>430599</v>
      </c>
      <c r="AH7" s="21">
        <v>402121</v>
      </c>
      <c r="AI7" s="20">
        <v>420359</v>
      </c>
      <c r="AJ7" s="21">
        <v>466660</v>
      </c>
      <c r="AK7" s="20">
        <v>438006</v>
      </c>
      <c r="AL7" s="21">
        <v>477043</v>
      </c>
      <c r="AM7" s="20">
        <v>450692</v>
      </c>
    </row>
    <row r="8" spans="1:39" ht="13" customHeight="1">
      <c r="A8" s="80" t="s">
        <v>200</v>
      </c>
      <c r="B8" s="80" t="s">
        <v>4</v>
      </c>
      <c r="C8" s="20">
        <v>-42799</v>
      </c>
      <c r="D8" s="21">
        <v>-54485</v>
      </c>
      <c r="E8" s="20">
        <v>-55868</v>
      </c>
      <c r="F8" s="21">
        <v>-60910</v>
      </c>
      <c r="G8" s="20">
        <v>-50709</v>
      </c>
      <c r="H8" s="21">
        <v>-60976</v>
      </c>
      <c r="I8" s="20">
        <v>-59329</v>
      </c>
      <c r="J8" s="21">
        <v>-88553</v>
      </c>
      <c r="K8" s="20">
        <v>-78059</v>
      </c>
      <c r="L8" s="21">
        <v>-91077</v>
      </c>
      <c r="M8" s="20">
        <v>-104094</v>
      </c>
      <c r="N8" s="21">
        <v>-101622</v>
      </c>
      <c r="O8" s="20">
        <v>-87495</v>
      </c>
      <c r="P8" s="21">
        <v>-94428</v>
      </c>
      <c r="Q8" s="20">
        <v>-104905</v>
      </c>
      <c r="R8" s="21">
        <v>-102641</v>
      </c>
      <c r="S8" s="17">
        <v>-97084</v>
      </c>
      <c r="T8" s="21">
        <v>-127451</v>
      </c>
      <c r="U8" s="20">
        <v>-131965</v>
      </c>
      <c r="V8" s="21">
        <v>-142494</v>
      </c>
      <c r="W8" s="20">
        <v>-134176</v>
      </c>
      <c r="X8" s="21">
        <v>-139666</v>
      </c>
      <c r="Y8" s="20">
        <v>-160326</v>
      </c>
      <c r="Z8" s="21">
        <v>-145735</v>
      </c>
      <c r="AA8" s="20">
        <v>-138688</v>
      </c>
      <c r="AB8" s="21">
        <v>-161822</v>
      </c>
      <c r="AC8" s="20">
        <v>-190777</v>
      </c>
      <c r="AD8" s="21">
        <v>-183479</v>
      </c>
      <c r="AE8" s="20">
        <v>-180742</v>
      </c>
      <c r="AF8" s="21">
        <v>-211816</v>
      </c>
      <c r="AG8" s="20">
        <v>-229013</v>
      </c>
      <c r="AH8" s="21">
        <v>-218915</v>
      </c>
      <c r="AI8" s="20">
        <v>-211808</v>
      </c>
      <c r="AJ8" s="21">
        <v>-250499</v>
      </c>
      <c r="AK8" s="20">
        <v>-265733</v>
      </c>
      <c r="AL8" s="21">
        <v>-236525</v>
      </c>
      <c r="AM8" s="20">
        <v>-239353</v>
      </c>
    </row>
    <row r="9" spans="1:39" ht="13" customHeight="1">
      <c r="A9" s="79" t="s">
        <v>201</v>
      </c>
      <c r="B9" s="79" t="s">
        <v>96</v>
      </c>
      <c r="C9" s="23">
        <f t="shared" ref="C9:R9" si="6">SUM(C7:C8)</f>
        <v>92783</v>
      </c>
      <c r="D9" s="23">
        <f t="shared" si="6"/>
        <v>70326</v>
      </c>
      <c r="E9" s="23">
        <f t="shared" si="6"/>
        <v>89109</v>
      </c>
      <c r="F9" s="23">
        <f t="shared" si="6"/>
        <v>79450</v>
      </c>
      <c r="G9" s="23">
        <f t="shared" si="6"/>
        <v>87261</v>
      </c>
      <c r="H9" s="23">
        <f t="shared" si="6"/>
        <v>76158</v>
      </c>
      <c r="I9" s="23">
        <f t="shared" si="6"/>
        <v>76161</v>
      </c>
      <c r="J9" s="23">
        <f t="shared" si="6"/>
        <v>91554</v>
      </c>
      <c r="K9" s="23">
        <f t="shared" si="6"/>
        <v>111029</v>
      </c>
      <c r="L9" s="23">
        <f t="shared" si="6"/>
        <v>112198</v>
      </c>
      <c r="M9" s="23">
        <f t="shared" si="6"/>
        <v>97330</v>
      </c>
      <c r="N9" s="23">
        <f t="shared" si="6"/>
        <v>110194</v>
      </c>
      <c r="O9" s="23">
        <f t="shared" si="6"/>
        <v>176874</v>
      </c>
      <c r="P9" s="23">
        <f t="shared" si="6"/>
        <v>170595</v>
      </c>
      <c r="Q9" s="23">
        <f t="shared" si="6"/>
        <v>178562</v>
      </c>
      <c r="R9" s="23">
        <f t="shared" si="6"/>
        <v>183968</v>
      </c>
      <c r="S9" s="26">
        <f t="shared" ref="S9:AD9" si="7">S7+S8</f>
        <v>169864</v>
      </c>
      <c r="T9" s="26">
        <f t="shared" si="7"/>
        <v>156810</v>
      </c>
      <c r="U9" s="26">
        <f t="shared" si="7"/>
        <v>170244</v>
      </c>
      <c r="V9" s="26">
        <f t="shared" si="7"/>
        <v>161140</v>
      </c>
      <c r="W9" s="26">
        <f t="shared" si="7"/>
        <v>135171</v>
      </c>
      <c r="X9" s="26">
        <f t="shared" si="7"/>
        <v>154584</v>
      </c>
      <c r="Y9" s="26">
        <f t="shared" si="7"/>
        <v>169102</v>
      </c>
      <c r="Z9" s="26">
        <f t="shared" si="7"/>
        <v>176989</v>
      </c>
      <c r="AA9" s="26">
        <f t="shared" si="7"/>
        <v>177710</v>
      </c>
      <c r="AB9" s="26">
        <f t="shared" si="7"/>
        <v>183378</v>
      </c>
      <c r="AC9" s="26">
        <f t="shared" si="7"/>
        <v>189588</v>
      </c>
      <c r="AD9" s="26">
        <f t="shared" si="7"/>
        <v>216072</v>
      </c>
      <c r="AE9" s="26">
        <f t="shared" ref="AE9:AF9" si="8">AE7+AE8</f>
        <v>190677</v>
      </c>
      <c r="AF9" s="26">
        <f t="shared" si="8"/>
        <v>220600</v>
      </c>
      <c r="AG9" s="26">
        <f t="shared" ref="AG9:AH9" si="9">AG7+AG8</f>
        <v>201586</v>
      </c>
      <c r="AH9" s="26">
        <f t="shared" si="9"/>
        <v>183206</v>
      </c>
      <c r="AI9" s="26">
        <f t="shared" ref="AI9:AJ9" si="10">AI7+AI8</f>
        <v>208551</v>
      </c>
      <c r="AJ9" s="26">
        <f t="shared" si="10"/>
        <v>216161</v>
      </c>
      <c r="AK9" s="26">
        <f t="shared" ref="AK9:AL9" si="11">AK7+AK8</f>
        <v>172273</v>
      </c>
      <c r="AL9" s="26">
        <f t="shared" si="11"/>
        <v>240518</v>
      </c>
      <c r="AM9" s="26">
        <f t="shared" ref="AM9" si="12">AM7+AM8</f>
        <v>211339</v>
      </c>
    </row>
    <row r="10" spans="1:39" ht="13" customHeight="1">
      <c r="A10" s="80" t="s">
        <v>202</v>
      </c>
      <c r="B10" s="80" t="s">
        <v>2</v>
      </c>
      <c r="C10" s="20">
        <v>0</v>
      </c>
      <c r="D10" s="21">
        <v>42</v>
      </c>
      <c r="E10" s="20">
        <v>22</v>
      </c>
      <c r="F10" s="21">
        <v>10</v>
      </c>
      <c r="G10" s="20">
        <v>0</v>
      </c>
      <c r="H10" s="21">
        <v>34</v>
      </c>
      <c r="I10" s="20">
        <v>17</v>
      </c>
      <c r="J10" s="21">
        <v>17</v>
      </c>
      <c r="K10" s="20">
        <v>0</v>
      </c>
      <c r="L10" s="21">
        <v>2</v>
      </c>
      <c r="M10" s="20">
        <v>25</v>
      </c>
      <c r="N10" s="21">
        <v>4</v>
      </c>
      <c r="O10" s="20">
        <v>0</v>
      </c>
      <c r="P10" s="21">
        <v>94</v>
      </c>
      <c r="Q10" s="20">
        <v>49</v>
      </c>
      <c r="R10" s="21">
        <v>132</v>
      </c>
      <c r="S10" s="17">
        <v>0</v>
      </c>
      <c r="T10" s="21">
        <v>173</v>
      </c>
      <c r="U10" s="20">
        <v>84</v>
      </c>
      <c r="V10" s="21">
        <v>87</v>
      </c>
      <c r="W10" s="20">
        <v>114</v>
      </c>
      <c r="X10" s="21">
        <v>107</v>
      </c>
      <c r="Y10" s="20">
        <v>373</v>
      </c>
      <c r="Z10" s="21">
        <v>106</v>
      </c>
      <c r="AA10" s="20">
        <v>106</v>
      </c>
      <c r="AB10" s="21">
        <v>171</v>
      </c>
      <c r="AC10" s="20">
        <v>120</v>
      </c>
      <c r="AD10" s="21">
        <v>135</v>
      </c>
      <c r="AE10" s="20">
        <v>139</v>
      </c>
      <c r="AF10" s="21">
        <v>152</v>
      </c>
      <c r="AG10" s="20">
        <v>157</v>
      </c>
      <c r="AH10" s="21">
        <v>179</v>
      </c>
      <c r="AI10" s="20">
        <v>47</v>
      </c>
      <c r="AJ10" s="21">
        <v>46</v>
      </c>
      <c r="AK10" s="20">
        <v>43</v>
      </c>
      <c r="AL10" s="21">
        <v>49</v>
      </c>
      <c r="AM10" s="20">
        <v>48</v>
      </c>
    </row>
    <row r="11" spans="1:39" ht="13" customHeight="1">
      <c r="A11" s="80" t="s">
        <v>203</v>
      </c>
      <c r="B11" s="80" t="s">
        <v>16</v>
      </c>
      <c r="C11" s="20">
        <v>64392</v>
      </c>
      <c r="D11" s="21">
        <v>71424</v>
      </c>
      <c r="E11" s="20">
        <v>58030</v>
      </c>
      <c r="F11" s="21">
        <v>74833</v>
      </c>
      <c r="G11" s="20">
        <v>58317</v>
      </c>
      <c r="H11" s="21">
        <v>72819</v>
      </c>
      <c r="I11" s="20">
        <v>78177</v>
      </c>
      <c r="J11" s="21">
        <v>111196</v>
      </c>
      <c r="K11" s="20">
        <v>65561</v>
      </c>
      <c r="L11" s="21">
        <v>90085</v>
      </c>
      <c r="M11" s="20">
        <v>88864</v>
      </c>
      <c r="N11" s="21">
        <v>93323</v>
      </c>
      <c r="O11" s="20">
        <v>9990</v>
      </c>
      <c r="P11" s="21">
        <v>43028</v>
      </c>
      <c r="Q11" s="20">
        <v>28712</v>
      </c>
      <c r="R11" s="21">
        <v>15954</v>
      </c>
      <c r="S11" s="17">
        <v>22686</v>
      </c>
      <c r="T11" s="21">
        <v>10580</v>
      </c>
      <c r="U11" s="20">
        <v>14863</v>
      </c>
      <c r="V11" s="21">
        <v>53881</v>
      </c>
      <c r="W11" s="20">
        <v>1339</v>
      </c>
      <c r="X11" s="21">
        <v>15004</v>
      </c>
      <c r="Y11" s="20">
        <v>19743</v>
      </c>
      <c r="Z11" s="21">
        <v>42984</v>
      </c>
      <c r="AA11" s="20">
        <v>18731</v>
      </c>
      <c r="AB11" s="21">
        <v>34438</v>
      </c>
      <c r="AC11" s="20">
        <v>28061</v>
      </c>
      <c r="AD11" s="21">
        <v>5919</v>
      </c>
      <c r="AE11" s="20">
        <v>37795</v>
      </c>
      <c r="AF11" s="21">
        <v>-3901</v>
      </c>
      <c r="AG11" s="20">
        <v>-19247</v>
      </c>
      <c r="AH11" s="21">
        <v>17874</v>
      </c>
      <c r="AI11" s="20">
        <v>13324</v>
      </c>
      <c r="AJ11" s="21">
        <v>6253</v>
      </c>
      <c r="AK11" s="20">
        <v>51127</v>
      </c>
      <c r="AL11" s="21">
        <v>-6928</v>
      </c>
      <c r="AM11" s="20">
        <v>10976</v>
      </c>
    </row>
    <row r="12" spans="1:39" ht="13" customHeight="1">
      <c r="A12" s="80" t="s">
        <v>218</v>
      </c>
      <c r="B12" s="80" t="s">
        <v>5</v>
      </c>
      <c r="C12" s="20">
        <v>4848</v>
      </c>
      <c r="D12" s="21">
        <v>-503</v>
      </c>
      <c r="E12" s="20">
        <v>3145</v>
      </c>
      <c r="F12" s="21">
        <v>5433</v>
      </c>
      <c r="G12" s="20">
        <v>10610</v>
      </c>
      <c r="H12" s="21">
        <v>10156</v>
      </c>
      <c r="I12" s="20">
        <v>214</v>
      </c>
      <c r="J12" s="21">
        <v>939</v>
      </c>
      <c r="K12" s="20">
        <v>454</v>
      </c>
      <c r="L12" s="21">
        <v>712</v>
      </c>
      <c r="M12" s="20">
        <v>814</v>
      </c>
      <c r="N12" s="21">
        <v>4928</v>
      </c>
      <c r="O12" s="20" t="s">
        <v>97</v>
      </c>
      <c r="P12" s="21" t="s">
        <v>97</v>
      </c>
      <c r="Q12" s="20" t="s">
        <v>97</v>
      </c>
      <c r="R12" s="21" t="s">
        <v>97</v>
      </c>
      <c r="S12" s="20" t="s">
        <v>97</v>
      </c>
      <c r="T12" s="21" t="s">
        <v>97</v>
      </c>
      <c r="U12" s="20" t="s">
        <v>97</v>
      </c>
      <c r="V12" s="21" t="s">
        <v>97</v>
      </c>
      <c r="W12" s="20" t="s">
        <v>97</v>
      </c>
      <c r="X12" s="21" t="s">
        <v>97</v>
      </c>
      <c r="Y12" s="20" t="s">
        <v>97</v>
      </c>
      <c r="Z12" s="21" t="s">
        <v>97</v>
      </c>
      <c r="AA12" s="20" t="s">
        <v>97</v>
      </c>
      <c r="AB12" s="21" t="s">
        <v>97</v>
      </c>
      <c r="AC12" s="20" t="s">
        <v>97</v>
      </c>
      <c r="AD12" s="21" t="s">
        <v>97</v>
      </c>
      <c r="AE12" s="20" t="s">
        <v>97</v>
      </c>
      <c r="AF12" s="21" t="s">
        <v>97</v>
      </c>
      <c r="AG12" s="20" t="s">
        <v>97</v>
      </c>
      <c r="AH12" s="21" t="s">
        <v>97</v>
      </c>
      <c r="AI12" s="20" t="s">
        <v>97</v>
      </c>
      <c r="AJ12" s="21" t="s">
        <v>97</v>
      </c>
      <c r="AK12" s="20" t="s">
        <v>97</v>
      </c>
      <c r="AL12" s="21" t="s">
        <v>97</v>
      </c>
      <c r="AM12" s="20" t="s">
        <v>97</v>
      </c>
    </row>
    <row r="13" spans="1:39" ht="13" customHeight="1">
      <c r="A13" s="79" t="s">
        <v>204</v>
      </c>
      <c r="B13" s="79" t="s">
        <v>360</v>
      </c>
      <c r="C13" s="23" t="s">
        <v>97</v>
      </c>
      <c r="D13" s="23" t="s">
        <v>97</v>
      </c>
      <c r="E13" s="23" t="s">
        <v>97</v>
      </c>
      <c r="F13" s="23" t="s">
        <v>97</v>
      </c>
      <c r="G13" s="23" t="s">
        <v>97</v>
      </c>
      <c r="H13" s="23" t="s">
        <v>97</v>
      </c>
      <c r="I13" s="23" t="s">
        <v>97</v>
      </c>
      <c r="J13" s="23" t="s">
        <v>97</v>
      </c>
      <c r="K13" s="23" t="s">
        <v>97</v>
      </c>
      <c r="L13" s="23" t="s">
        <v>97</v>
      </c>
      <c r="M13" s="23" t="s">
        <v>97</v>
      </c>
      <c r="N13" s="23" t="s">
        <v>97</v>
      </c>
      <c r="O13" s="23">
        <f>SUM(O14:O15)</f>
        <v>11545</v>
      </c>
      <c r="P13" s="23">
        <f>SUM(P14:P15)</f>
        <v>21249</v>
      </c>
      <c r="Q13" s="23">
        <f>SUM(Q14:Q15)</f>
        <v>7658</v>
      </c>
      <c r="R13" s="23">
        <f>SUM(R14:R15)</f>
        <v>37377</v>
      </c>
      <c r="S13" s="18">
        <v>17295</v>
      </c>
      <c r="T13" s="23">
        <f>SUM(T14:T15)</f>
        <v>4463</v>
      </c>
      <c r="U13" s="26">
        <v>7373</v>
      </c>
      <c r="V13" s="23">
        <v>17105</v>
      </c>
      <c r="W13" s="26">
        <f>W14+W15</f>
        <v>29261</v>
      </c>
      <c r="X13" s="23">
        <f>X14+X15</f>
        <v>-2643</v>
      </c>
      <c r="Y13" s="26">
        <v>9472</v>
      </c>
      <c r="Z13" s="23">
        <f t="shared" ref="Z13:AE13" si="13">Z14+Z15</f>
        <v>48463</v>
      </c>
      <c r="AA13" s="26">
        <f t="shared" si="13"/>
        <v>174</v>
      </c>
      <c r="AB13" s="23">
        <f t="shared" si="13"/>
        <v>2120</v>
      </c>
      <c r="AC13" s="26">
        <f t="shared" si="13"/>
        <v>3499</v>
      </c>
      <c r="AD13" s="23">
        <f t="shared" si="13"/>
        <v>-500</v>
      </c>
      <c r="AE13" s="26">
        <f t="shared" si="13"/>
        <v>290</v>
      </c>
      <c r="AF13" s="23">
        <f t="shared" ref="AF13:AG13" si="14">AF14+AF15</f>
        <v>1194</v>
      </c>
      <c r="AG13" s="26">
        <f t="shared" si="14"/>
        <v>171</v>
      </c>
      <c r="AH13" s="23">
        <f t="shared" ref="AH13:AI13" si="15">AH14+AH15</f>
        <v>334</v>
      </c>
      <c r="AI13" s="26">
        <f t="shared" si="15"/>
        <v>2221</v>
      </c>
      <c r="AJ13" s="23">
        <f t="shared" ref="AJ13:AK13" si="16">AJ14+AJ15</f>
        <v>1544</v>
      </c>
      <c r="AK13" s="26">
        <f t="shared" si="16"/>
        <v>2925</v>
      </c>
      <c r="AL13" s="23">
        <f t="shared" ref="AL13:AM13" si="17">AL14+AL15</f>
        <v>5561</v>
      </c>
      <c r="AM13" s="26">
        <f t="shared" si="17"/>
        <v>897</v>
      </c>
    </row>
    <row r="14" spans="1:39" ht="13" customHeight="1">
      <c r="A14" s="80" t="s">
        <v>205</v>
      </c>
      <c r="B14" s="80" t="s">
        <v>15</v>
      </c>
      <c r="C14" s="20" t="s">
        <v>97</v>
      </c>
      <c r="D14" s="21" t="s">
        <v>97</v>
      </c>
      <c r="E14" s="20" t="s">
        <v>97</v>
      </c>
      <c r="F14" s="21" t="s">
        <v>97</v>
      </c>
      <c r="G14" s="20" t="s">
        <v>97</v>
      </c>
      <c r="H14" s="21" t="s">
        <v>97</v>
      </c>
      <c r="I14" s="20" t="s">
        <v>97</v>
      </c>
      <c r="J14" s="21" t="s">
        <v>97</v>
      </c>
      <c r="K14" s="20" t="s">
        <v>97</v>
      </c>
      <c r="L14" s="21" t="s">
        <v>97</v>
      </c>
      <c r="M14" s="20" t="s">
        <v>97</v>
      </c>
      <c r="N14" s="21" t="s">
        <v>97</v>
      </c>
      <c r="O14" s="20">
        <v>11185</v>
      </c>
      <c r="P14" s="21">
        <v>20927</v>
      </c>
      <c r="Q14" s="20">
        <v>7320</v>
      </c>
      <c r="R14" s="21">
        <v>37041</v>
      </c>
      <c r="S14" s="17">
        <v>10423</v>
      </c>
      <c r="T14" s="21">
        <v>4277</v>
      </c>
      <c r="U14" s="20">
        <v>7000</v>
      </c>
      <c r="V14" s="21">
        <v>17107</v>
      </c>
      <c r="W14" s="20">
        <v>5547</v>
      </c>
      <c r="X14" s="21">
        <v>-2740</v>
      </c>
      <c r="Y14" s="20">
        <v>9409</v>
      </c>
      <c r="Z14" s="21">
        <v>48391</v>
      </c>
      <c r="AA14" s="20">
        <v>61</v>
      </c>
      <c r="AB14" s="21">
        <v>257</v>
      </c>
      <c r="AC14" s="20">
        <v>3471</v>
      </c>
      <c r="AD14" s="21">
        <v>-543</v>
      </c>
      <c r="AE14" s="20">
        <v>218</v>
      </c>
      <c r="AF14" s="21">
        <v>994</v>
      </c>
      <c r="AG14" s="20">
        <v>6</v>
      </c>
      <c r="AH14" s="21">
        <v>0</v>
      </c>
      <c r="AI14" s="20">
        <v>2068</v>
      </c>
      <c r="AJ14" s="21">
        <v>1439</v>
      </c>
      <c r="AK14" s="20">
        <v>2674</v>
      </c>
      <c r="AL14" s="21">
        <v>4165</v>
      </c>
      <c r="AM14" s="20">
        <v>712</v>
      </c>
    </row>
    <row r="15" spans="1:39" ht="13" customHeight="1">
      <c r="A15" s="80" t="s">
        <v>206</v>
      </c>
      <c r="B15" s="80" t="s">
        <v>14</v>
      </c>
      <c r="C15" s="20" t="s">
        <v>97</v>
      </c>
      <c r="D15" s="21" t="s">
        <v>97</v>
      </c>
      <c r="E15" s="20" t="s">
        <v>97</v>
      </c>
      <c r="F15" s="21" t="s">
        <v>97</v>
      </c>
      <c r="G15" s="20" t="s">
        <v>97</v>
      </c>
      <c r="H15" s="21" t="s">
        <v>97</v>
      </c>
      <c r="I15" s="20" t="s">
        <v>97</v>
      </c>
      <c r="J15" s="21" t="s">
        <v>97</v>
      </c>
      <c r="K15" s="20" t="s">
        <v>97</v>
      </c>
      <c r="L15" s="21" t="s">
        <v>97</v>
      </c>
      <c r="M15" s="20" t="s">
        <v>97</v>
      </c>
      <c r="N15" s="21" t="s">
        <v>97</v>
      </c>
      <c r="O15" s="20">
        <v>360</v>
      </c>
      <c r="P15" s="21">
        <v>322</v>
      </c>
      <c r="Q15" s="20">
        <v>338</v>
      </c>
      <c r="R15" s="21">
        <v>336</v>
      </c>
      <c r="S15" s="17">
        <v>6872</v>
      </c>
      <c r="T15" s="21">
        <v>186</v>
      </c>
      <c r="U15" s="20">
        <v>373</v>
      </c>
      <c r="V15" s="21">
        <v>-2</v>
      </c>
      <c r="W15" s="20">
        <v>23714</v>
      </c>
      <c r="X15" s="21">
        <v>97</v>
      </c>
      <c r="Y15" s="20">
        <v>63</v>
      </c>
      <c r="Z15" s="21">
        <v>72</v>
      </c>
      <c r="AA15" s="20">
        <v>113</v>
      </c>
      <c r="AB15" s="21">
        <v>1863</v>
      </c>
      <c r="AC15" s="20">
        <v>28</v>
      </c>
      <c r="AD15" s="21">
        <v>43</v>
      </c>
      <c r="AE15" s="20">
        <v>72</v>
      </c>
      <c r="AF15" s="21">
        <v>200</v>
      </c>
      <c r="AG15" s="20">
        <v>165</v>
      </c>
      <c r="AH15" s="21">
        <v>334</v>
      </c>
      <c r="AI15" s="20">
        <v>153</v>
      </c>
      <c r="AJ15" s="21">
        <v>105</v>
      </c>
      <c r="AK15" s="20">
        <v>251</v>
      </c>
      <c r="AL15" s="21">
        <v>1396</v>
      </c>
      <c r="AM15" s="20">
        <v>185</v>
      </c>
    </row>
    <row r="16" spans="1:39" ht="13" customHeight="1">
      <c r="A16" s="80" t="s">
        <v>207</v>
      </c>
      <c r="B16" s="80" t="s">
        <v>6</v>
      </c>
      <c r="C16" s="20">
        <v>19226</v>
      </c>
      <c r="D16" s="21">
        <v>31821</v>
      </c>
      <c r="E16" s="20">
        <v>17143</v>
      </c>
      <c r="F16" s="21">
        <v>13694</v>
      </c>
      <c r="G16" s="20">
        <v>15215</v>
      </c>
      <c r="H16" s="21">
        <v>18505</v>
      </c>
      <c r="I16" s="20">
        <v>16342</v>
      </c>
      <c r="J16" s="21">
        <v>63022</v>
      </c>
      <c r="K16" s="20">
        <v>32319</v>
      </c>
      <c r="L16" s="21">
        <v>28055</v>
      </c>
      <c r="M16" s="20">
        <v>27635</v>
      </c>
      <c r="N16" s="21">
        <v>24387</v>
      </c>
      <c r="O16" s="20">
        <v>48955</v>
      </c>
      <c r="P16" s="21">
        <v>25718</v>
      </c>
      <c r="Q16" s="20">
        <v>19887</v>
      </c>
      <c r="R16" s="21">
        <v>32485</v>
      </c>
      <c r="S16" s="17">
        <v>33437</v>
      </c>
      <c r="T16" s="21">
        <v>30783</v>
      </c>
      <c r="U16" s="20">
        <v>36407</v>
      </c>
      <c r="V16" s="21">
        <v>42839</v>
      </c>
      <c r="W16" s="20">
        <v>41615</v>
      </c>
      <c r="X16" s="21">
        <v>26601</v>
      </c>
      <c r="Y16" s="20">
        <v>31438</v>
      </c>
      <c r="Z16" s="21">
        <v>37385</v>
      </c>
      <c r="AA16" s="20">
        <v>47087</v>
      </c>
      <c r="AB16" s="21">
        <v>30166</v>
      </c>
      <c r="AC16" s="20">
        <v>34892</v>
      </c>
      <c r="AD16" s="21">
        <v>35342</v>
      </c>
      <c r="AE16" s="20">
        <v>31536</v>
      </c>
      <c r="AF16" s="21">
        <v>30456</v>
      </c>
      <c r="AG16" s="20">
        <v>24663</v>
      </c>
      <c r="AH16" s="21">
        <v>33057</v>
      </c>
      <c r="AI16" s="20">
        <v>28703</v>
      </c>
      <c r="AJ16" s="21">
        <v>31556</v>
      </c>
      <c r="AK16" s="20">
        <v>31643</v>
      </c>
      <c r="AL16" s="21">
        <v>56926</v>
      </c>
      <c r="AM16" s="20">
        <v>34629</v>
      </c>
    </row>
    <row r="17" spans="1:39" ht="13" customHeight="1">
      <c r="A17" s="80" t="s">
        <v>208</v>
      </c>
      <c r="B17" s="80" t="s">
        <v>7</v>
      </c>
      <c r="C17" s="20">
        <v>-5813</v>
      </c>
      <c r="D17" s="21">
        <v>-21530</v>
      </c>
      <c r="E17" s="20">
        <v>-765</v>
      </c>
      <c r="F17" s="21">
        <v>-2120</v>
      </c>
      <c r="G17" s="20">
        <v>-4604</v>
      </c>
      <c r="H17" s="21">
        <v>-18458</v>
      </c>
      <c r="I17" s="20">
        <v>-13039</v>
      </c>
      <c r="J17" s="21">
        <v>-15964</v>
      </c>
      <c r="K17" s="20">
        <v>-15595</v>
      </c>
      <c r="L17" s="21">
        <v>-17066</v>
      </c>
      <c r="M17" s="20">
        <v>-22202</v>
      </c>
      <c r="N17" s="21">
        <v>-31052</v>
      </c>
      <c r="O17" s="20">
        <v>-20297</v>
      </c>
      <c r="P17" s="21">
        <v>-25884</v>
      </c>
      <c r="Q17" s="20">
        <v>-35837</v>
      </c>
      <c r="R17" s="21">
        <v>-59789</v>
      </c>
      <c r="S17" s="17">
        <v>-20944</v>
      </c>
      <c r="T17" s="21">
        <v>-27057</v>
      </c>
      <c r="U17" s="20">
        <v>-76931</v>
      </c>
      <c r="V17" s="21">
        <v>-220673</v>
      </c>
      <c r="W17" s="20">
        <v>-34194</v>
      </c>
      <c r="X17" s="21">
        <v>-124454</v>
      </c>
      <c r="Y17" s="20">
        <v>-20573</v>
      </c>
      <c r="Z17" s="21">
        <v>-61225</v>
      </c>
      <c r="AA17" s="20">
        <v>-22624</v>
      </c>
      <c r="AB17" s="21">
        <v>-24243</v>
      </c>
      <c r="AC17" s="20">
        <v>-41423</v>
      </c>
      <c r="AD17" s="21">
        <v>-80032</v>
      </c>
      <c r="AE17" s="20">
        <v>-29621</v>
      </c>
      <c r="AF17" s="21">
        <v>-20470</v>
      </c>
      <c r="AG17" s="20">
        <v>-27469</v>
      </c>
      <c r="AH17" s="21">
        <v>-51650</v>
      </c>
      <c r="AI17" s="20">
        <v>-27697</v>
      </c>
      <c r="AJ17" s="21">
        <v>-31315</v>
      </c>
      <c r="AK17" s="20">
        <v>-27683</v>
      </c>
      <c r="AL17" s="21">
        <v>-117420</v>
      </c>
      <c r="AM17" s="20">
        <v>-28875</v>
      </c>
    </row>
    <row r="18" spans="1:39" ht="13" customHeight="1">
      <c r="A18" s="79" t="s">
        <v>209</v>
      </c>
      <c r="B18" s="79" t="s">
        <v>8</v>
      </c>
      <c r="C18" s="23">
        <f t="shared" ref="C18:R18" si="18">SUM(C16:C17)</f>
        <v>13413</v>
      </c>
      <c r="D18" s="23">
        <f t="shared" si="18"/>
        <v>10291</v>
      </c>
      <c r="E18" s="23">
        <f t="shared" si="18"/>
        <v>16378</v>
      </c>
      <c r="F18" s="23">
        <f t="shared" si="18"/>
        <v>11574</v>
      </c>
      <c r="G18" s="23">
        <f t="shared" si="18"/>
        <v>10611</v>
      </c>
      <c r="H18" s="23">
        <f t="shared" si="18"/>
        <v>47</v>
      </c>
      <c r="I18" s="23">
        <f t="shared" si="18"/>
        <v>3303</v>
      </c>
      <c r="J18" s="23">
        <f t="shared" si="18"/>
        <v>47058</v>
      </c>
      <c r="K18" s="23">
        <f t="shared" si="18"/>
        <v>16724</v>
      </c>
      <c r="L18" s="23">
        <f t="shared" si="18"/>
        <v>10989</v>
      </c>
      <c r="M18" s="23">
        <f t="shared" si="18"/>
        <v>5433</v>
      </c>
      <c r="N18" s="23">
        <f t="shared" si="18"/>
        <v>-6665</v>
      </c>
      <c r="O18" s="23">
        <f t="shared" si="18"/>
        <v>28658</v>
      </c>
      <c r="P18" s="23">
        <f t="shared" si="18"/>
        <v>-166</v>
      </c>
      <c r="Q18" s="23">
        <f t="shared" si="18"/>
        <v>-15950</v>
      </c>
      <c r="R18" s="23">
        <f t="shared" si="18"/>
        <v>-27304</v>
      </c>
      <c r="S18" s="18">
        <v>12493</v>
      </c>
      <c r="T18" s="23">
        <f>SUM(T16:T17)</f>
        <v>3726</v>
      </c>
      <c r="U18" s="26">
        <f>U16+U17</f>
        <v>-40524</v>
      </c>
      <c r="V18" s="26">
        <f>V16+V17</f>
        <v>-177834</v>
      </c>
      <c r="W18" s="26">
        <f>SUM(W16:W17)</f>
        <v>7421</v>
      </c>
      <c r="X18" s="23">
        <f>SUM(X16:X17)</f>
        <v>-97853</v>
      </c>
      <c r="Y18" s="26">
        <v>10865</v>
      </c>
      <c r="Z18" s="23">
        <f t="shared" ref="Z18:AE18" si="19">SUM(Z16:Z17)</f>
        <v>-23840</v>
      </c>
      <c r="AA18" s="26">
        <f t="shared" si="19"/>
        <v>24463</v>
      </c>
      <c r="AB18" s="23">
        <f t="shared" si="19"/>
        <v>5923</v>
      </c>
      <c r="AC18" s="26">
        <f t="shared" si="19"/>
        <v>-6531</v>
      </c>
      <c r="AD18" s="23">
        <f t="shared" si="19"/>
        <v>-44690</v>
      </c>
      <c r="AE18" s="26">
        <f t="shared" si="19"/>
        <v>1915</v>
      </c>
      <c r="AF18" s="23">
        <f t="shared" ref="AF18:AH18" si="20">SUM(AF16:AF17)</f>
        <v>9986</v>
      </c>
      <c r="AG18" s="26">
        <f>SUM(AG16:AG17)</f>
        <v>-2806</v>
      </c>
      <c r="AH18" s="23">
        <f t="shared" si="20"/>
        <v>-18593</v>
      </c>
      <c r="AI18" s="26">
        <f t="shared" ref="AI18:AJ18" si="21">SUM(AI16:AI17)</f>
        <v>1006</v>
      </c>
      <c r="AJ18" s="23">
        <f t="shared" si="21"/>
        <v>241</v>
      </c>
      <c r="AK18" s="26">
        <f t="shared" ref="AK18:AL18" si="22">SUM(AK16:AK17)</f>
        <v>3960</v>
      </c>
      <c r="AL18" s="23">
        <f t="shared" si="22"/>
        <v>-60494</v>
      </c>
      <c r="AM18" s="26">
        <f t="shared" ref="AM18" si="23">SUM(AM16:AM17)</f>
        <v>5754</v>
      </c>
    </row>
    <row r="19" spans="1:39" ht="13" customHeight="1">
      <c r="A19" s="80" t="s">
        <v>217</v>
      </c>
      <c r="B19" s="80" t="s">
        <v>11</v>
      </c>
      <c r="C19" s="20">
        <v>0</v>
      </c>
      <c r="D19" s="21">
        <v>0</v>
      </c>
      <c r="E19" s="20">
        <v>0</v>
      </c>
      <c r="F19" s="21">
        <v>0</v>
      </c>
      <c r="G19" s="20">
        <v>0</v>
      </c>
      <c r="H19" s="21">
        <v>0</v>
      </c>
      <c r="I19" s="20">
        <v>0</v>
      </c>
      <c r="J19" s="21">
        <v>465005</v>
      </c>
      <c r="K19" s="20">
        <v>0</v>
      </c>
      <c r="L19" s="21">
        <v>0</v>
      </c>
      <c r="M19" s="20">
        <v>0</v>
      </c>
      <c r="N19" s="21">
        <v>0</v>
      </c>
      <c r="O19" s="20">
        <v>0</v>
      </c>
      <c r="P19" s="21">
        <v>0</v>
      </c>
      <c r="Q19" s="20">
        <v>0</v>
      </c>
      <c r="R19" s="21">
        <v>0</v>
      </c>
      <c r="S19" s="17">
        <v>0</v>
      </c>
      <c r="T19" s="21">
        <v>0</v>
      </c>
      <c r="U19" s="20">
        <v>0</v>
      </c>
      <c r="V19" s="21">
        <v>0</v>
      </c>
      <c r="W19" s="20">
        <v>0</v>
      </c>
      <c r="X19" s="21">
        <v>0</v>
      </c>
      <c r="Y19" s="20">
        <v>0</v>
      </c>
      <c r="Z19" s="21">
        <v>0</v>
      </c>
      <c r="AA19" s="20">
        <v>0</v>
      </c>
      <c r="AB19" s="21">
        <v>0</v>
      </c>
      <c r="AC19" s="20">
        <v>0</v>
      </c>
      <c r="AD19" s="21">
        <v>0</v>
      </c>
      <c r="AE19" s="20">
        <v>0</v>
      </c>
      <c r="AF19" s="21">
        <v>0</v>
      </c>
      <c r="AG19" s="20">
        <v>0</v>
      </c>
      <c r="AH19" s="21">
        <v>0</v>
      </c>
      <c r="AI19" s="20">
        <v>0</v>
      </c>
      <c r="AJ19" s="21">
        <v>0</v>
      </c>
      <c r="AK19" s="20">
        <v>0</v>
      </c>
      <c r="AL19" s="21">
        <v>0</v>
      </c>
      <c r="AM19" s="20">
        <v>0</v>
      </c>
    </row>
    <row r="20" spans="1:39" ht="13" customHeight="1">
      <c r="A20" s="80" t="s">
        <v>210</v>
      </c>
      <c r="B20" s="80" t="s">
        <v>319</v>
      </c>
      <c r="C20" s="20">
        <v>-257858</v>
      </c>
      <c r="D20" s="21">
        <v>-262534</v>
      </c>
      <c r="E20" s="20">
        <v>-262421</v>
      </c>
      <c r="F20" s="21">
        <v>-325079</v>
      </c>
      <c r="G20" s="20">
        <v>-276614</v>
      </c>
      <c r="H20" s="21">
        <v>-287215</v>
      </c>
      <c r="I20" s="20">
        <v>-297109</v>
      </c>
      <c r="J20" s="21">
        <v>-705622</v>
      </c>
      <c r="K20" s="20">
        <v>-498903</v>
      </c>
      <c r="L20" s="21">
        <v>-503156</v>
      </c>
      <c r="M20" s="20">
        <v>-401139</v>
      </c>
      <c r="N20" s="21">
        <v>-450379</v>
      </c>
      <c r="O20" s="20">
        <v>-456093</v>
      </c>
      <c r="P20" s="21">
        <v>-430160</v>
      </c>
      <c r="Q20" s="20">
        <v>-411309</v>
      </c>
      <c r="R20" s="21">
        <v>-407441</v>
      </c>
      <c r="S20" s="17">
        <v>-512397</v>
      </c>
      <c r="T20" s="21">
        <v>-393558</v>
      </c>
      <c r="U20" s="20">
        <v>-371987</v>
      </c>
      <c r="V20" s="21">
        <v>-352162</v>
      </c>
      <c r="W20" s="20">
        <v>-481591</v>
      </c>
      <c r="X20" s="21">
        <v>-394980</v>
      </c>
      <c r="Y20" s="20">
        <v>-407800</v>
      </c>
      <c r="Z20" s="21">
        <v>-380160</v>
      </c>
      <c r="AA20" s="20">
        <v>-417941</v>
      </c>
      <c r="AB20" s="21">
        <v>-379330</v>
      </c>
      <c r="AC20" s="20">
        <v>-393872</v>
      </c>
      <c r="AD20" s="21">
        <v>-391401</v>
      </c>
      <c r="AE20" s="20">
        <v>-493014</v>
      </c>
      <c r="AF20" s="21">
        <v>-591445</v>
      </c>
      <c r="AG20" s="20">
        <v>-456351</v>
      </c>
      <c r="AH20" s="21">
        <v>-456698</v>
      </c>
      <c r="AI20" s="20">
        <v>-505454</v>
      </c>
      <c r="AJ20" s="21">
        <v>-489598</v>
      </c>
      <c r="AK20" s="20">
        <v>-483864</v>
      </c>
      <c r="AL20" s="21">
        <v>-496887</v>
      </c>
      <c r="AM20" s="20">
        <v>-545328</v>
      </c>
    </row>
    <row r="21" spans="1:39" ht="13" customHeight="1">
      <c r="A21" s="80" t="s">
        <v>340</v>
      </c>
      <c r="B21" s="80" t="s">
        <v>638</v>
      </c>
      <c r="C21" s="20">
        <v>-142455</v>
      </c>
      <c r="D21" s="21">
        <v>-153552</v>
      </c>
      <c r="E21" s="20">
        <v>-173557</v>
      </c>
      <c r="F21" s="21">
        <v>-190181</v>
      </c>
      <c r="G21" s="20">
        <v>-172293</v>
      </c>
      <c r="H21" s="21">
        <v>-164322</v>
      </c>
      <c r="I21" s="20">
        <v>-196637</v>
      </c>
      <c r="J21" s="21">
        <v>-243920</v>
      </c>
      <c r="K21" s="20">
        <v>-207995</v>
      </c>
      <c r="L21" s="21">
        <v>-248717</v>
      </c>
      <c r="M21" s="20">
        <v>-207353</v>
      </c>
      <c r="N21" s="21">
        <v>-225144</v>
      </c>
      <c r="O21" s="20">
        <v>-242992</v>
      </c>
      <c r="P21" s="21">
        <v>-237598</v>
      </c>
      <c r="Q21" s="20">
        <v>-272157</v>
      </c>
      <c r="R21" s="21">
        <v>-295071</v>
      </c>
      <c r="S21" s="17">
        <v>-272962</v>
      </c>
      <c r="T21" s="21">
        <v>-502540</v>
      </c>
      <c r="U21" s="20">
        <v>-324781</v>
      </c>
      <c r="V21" s="21">
        <v>-336875</v>
      </c>
      <c r="W21" s="20">
        <v>-296153</v>
      </c>
      <c r="X21" s="21">
        <v>-915146</v>
      </c>
      <c r="Y21" s="20">
        <v>-289343</v>
      </c>
      <c r="Z21" s="21">
        <v>-232829</v>
      </c>
      <c r="AA21" s="20">
        <v>-243485</v>
      </c>
      <c r="AB21" s="21">
        <v>-264980</v>
      </c>
      <c r="AC21" s="20">
        <v>-251729</v>
      </c>
      <c r="AD21" s="21">
        <v>-246469</v>
      </c>
      <c r="AE21" s="20">
        <v>-208556</v>
      </c>
      <c r="AF21" s="21">
        <v>-229937</v>
      </c>
      <c r="AG21" s="20">
        <v>-262792</v>
      </c>
      <c r="AH21" s="21">
        <v>-248480</v>
      </c>
      <c r="AI21" s="20">
        <v>-247141</v>
      </c>
      <c r="AJ21" s="21">
        <v>-147672</v>
      </c>
      <c r="AK21" s="20">
        <v>-154564</v>
      </c>
      <c r="AL21" s="21">
        <v>-75915</v>
      </c>
      <c r="AM21" s="20">
        <v>-111243</v>
      </c>
    </row>
    <row r="22" spans="1:39" ht="13" customHeight="1">
      <c r="A22" s="80" t="s">
        <v>503</v>
      </c>
      <c r="B22" s="80" t="s">
        <v>341</v>
      </c>
      <c r="C22" s="20">
        <v>-2201</v>
      </c>
      <c r="D22" s="21">
        <v>-5931</v>
      </c>
      <c r="E22" s="20">
        <v>470</v>
      </c>
      <c r="F22" s="21">
        <v>-4706</v>
      </c>
      <c r="G22" s="20">
        <v>-3452</v>
      </c>
      <c r="H22" s="21">
        <v>-8790</v>
      </c>
      <c r="I22" s="20">
        <v>-2369</v>
      </c>
      <c r="J22" s="21">
        <v>-8104</v>
      </c>
      <c r="K22" s="20">
        <v>-3621</v>
      </c>
      <c r="L22" s="21">
        <v>-7366</v>
      </c>
      <c r="M22" s="20">
        <v>-4606</v>
      </c>
      <c r="N22" s="21">
        <v>-10128</v>
      </c>
      <c r="O22" s="20">
        <v>-1756</v>
      </c>
      <c r="P22" s="21">
        <v>-477</v>
      </c>
      <c r="Q22" s="20">
        <v>-1033</v>
      </c>
      <c r="R22" s="21">
        <v>-2985</v>
      </c>
      <c r="S22" s="17">
        <v>-1644</v>
      </c>
      <c r="T22" s="21">
        <v>-105</v>
      </c>
      <c r="U22" s="20">
        <v>-7</v>
      </c>
      <c r="V22" s="21">
        <v>-4190</v>
      </c>
      <c r="W22" s="20">
        <v>1307</v>
      </c>
      <c r="X22" s="21">
        <v>-69897</v>
      </c>
      <c r="Y22" s="20">
        <v>-1802</v>
      </c>
      <c r="Z22" s="21">
        <v>-62430</v>
      </c>
      <c r="AA22" s="20">
        <v>-477</v>
      </c>
      <c r="AB22" s="21">
        <v>-1399</v>
      </c>
      <c r="AC22" s="20">
        <v>-1330</v>
      </c>
      <c r="AD22" s="21">
        <v>-7276</v>
      </c>
      <c r="AE22" s="20">
        <v>-30901</v>
      </c>
      <c r="AF22" s="21">
        <v>-9322</v>
      </c>
      <c r="AG22" s="20">
        <v>-975</v>
      </c>
      <c r="AH22" s="21">
        <v>-11193</v>
      </c>
      <c r="AI22" s="20">
        <v>-248</v>
      </c>
      <c r="AJ22" s="21">
        <v>-2951</v>
      </c>
      <c r="AK22" s="20">
        <v>-409</v>
      </c>
      <c r="AL22" s="21">
        <v>-1304</v>
      </c>
      <c r="AM22" s="20">
        <v>-102</v>
      </c>
    </row>
    <row r="23" spans="1:39" ht="13" customHeight="1">
      <c r="A23" s="80" t="s">
        <v>464</v>
      </c>
      <c r="B23" s="80" t="s">
        <v>463</v>
      </c>
      <c r="C23" s="20"/>
      <c r="D23" s="21"/>
      <c r="E23" s="20"/>
      <c r="F23" s="21"/>
      <c r="G23" s="20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17"/>
      <c r="T23" s="21"/>
      <c r="U23" s="20"/>
      <c r="V23" s="21"/>
      <c r="W23" s="20"/>
      <c r="X23" s="21"/>
      <c r="Y23" s="20"/>
      <c r="Z23" s="21">
        <v>-311</v>
      </c>
      <c r="AA23" s="20"/>
      <c r="AB23" s="21"/>
      <c r="AC23" s="20"/>
      <c r="AD23" s="21">
        <v>-21386</v>
      </c>
      <c r="AE23" s="20">
        <v>-23197</v>
      </c>
      <c r="AF23" s="21">
        <v>-1241</v>
      </c>
      <c r="AG23" s="20">
        <v>-15124</v>
      </c>
      <c r="AH23" s="21">
        <v>-43606</v>
      </c>
      <c r="AI23" s="20">
        <v>-506</v>
      </c>
      <c r="AJ23" s="21">
        <v>-2280</v>
      </c>
      <c r="AK23" s="20">
        <v>-5389</v>
      </c>
      <c r="AL23" s="21">
        <v>-45808</v>
      </c>
      <c r="AM23" s="20">
        <v>-1794</v>
      </c>
    </row>
    <row r="24" spans="1:39" ht="13" customHeight="1">
      <c r="A24" s="80" t="s">
        <v>211</v>
      </c>
      <c r="B24" s="80" t="s">
        <v>10</v>
      </c>
      <c r="C24" s="20">
        <v>0</v>
      </c>
      <c r="D24" s="21">
        <v>0</v>
      </c>
      <c r="E24" s="20">
        <v>0</v>
      </c>
      <c r="F24" s="21">
        <v>0</v>
      </c>
      <c r="G24" s="20">
        <v>-20673</v>
      </c>
      <c r="H24" s="21">
        <v>-32257</v>
      </c>
      <c r="I24" s="20">
        <v>-34680</v>
      </c>
      <c r="J24" s="21">
        <v>-43283</v>
      </c>
      <c r="K24" s="20">
        <v>-49527</v>
      </c>
      <c r="L24" s="21">
        <v>-49201</v>
      </c>
      <c r="M24" s="20">
        <v>-50647</v>
      </c>
      <c r="N24" s="21">
        <v>-51142</v>
      </c>
      <c r="O24" s="20">
        <v>-49890</v>
      </c>
      <c r="P24" s="21">
        <v>-53011</v>
      </c>
      <c r="Q24" s="20">
        <v>-52270</v>
      </c>
      <c r="R24" s="21">
        <v>-53015</v>
      </c>
      <c r="S24" s="17">
        <v>-54232</v>
      </c>
      <c r="T24" s="21">
        <v>-55969</v>
      </c>
      <c r="U24" s="20">
        <v>-59005</v>
      </c>
      <c r="V24" s="21">
        <v>-56768</v>
      </c>
      <c r="W24" s="20">
        <v>-54118</v>
      </c>
      <c r="X24" s="21">
        <v>-55771</v>
      </c>
      <c r="Y24" s="20">
        <v>-55329</v>
      </c>
      <c r="Z24" s="21">
        <v>-55585</v>
      </c>
      <c r="AA24" s="20">
        <v>-58615</v>
      </c>
      <c r="AB24" s="21">
        <v>-57654</v>
      </c>
      <c r="AC24" s="20">
        <v>-58031</v>
      </c>
      <c r="AD24" s="21">
        <v>-62535</v>
      </c>
      <c r="AE24" s="20">
        <v>-64115</v>
      </c>
      <c r="AF24" s="21">
        <v>-65966</v>
      </c>
      <c r="AG24" s="20">
        <v>-66995</v>
      </c>
      <c r="AH24" s="21">
        <v>-65647</v>
      </c>
      <c r="AI24" s="20">
        <v>-65987</v>
      </c>
      <c r="AJ24" s="21">
        <v>-65128</v>
      </c>
      <c r="AK24" s="20">
        <v>-64997</v>
      </c>
      <c r="AL24" s="21">
        <v>-67641</v>
      </c>
      <c r="AM24" s="20">
        <v>-71198</v>
      </c>
    </row>
    <row r="25" spans="1:39" ht="13" customHeight="1">
      <c r="A25" s="79" t="s">
        <v>212</v>
      </c>
      <c r="B25" s="79" t="s">
        <v>335</v>
      </c>
      <c r="C25" s="23">
        <f t="shared" ref="C25:I25" si="24">C6+C9+C10+C18+C20+C21+C24+C11+C12+C22</f>
        <v>117226</v>
      </c>
      <c r="D25" s="23">
        <f t="shared" si="24"/>
        <v>102973</v>
      </c>
      <c r="E25" s="23">
        <f t="shared" si="24"/>
        <v>114900</v>
      </c>
      <c r="F25" s="23">
        <f t="shared" si="24"/>
        <v>50909</v>
      </c>
      <c r="G25" s="23">
        <f t="shared" si="24"/>
        <v>106261</v>
      </c>
      <c r="H25" s="23">
        <f t="shared" si="24"/>
        <v>110803</v>
      </c>
      <c r="I25" s="23">
        <f t="shared" si="24"/>
        <v>117587</v>
      </c>
      <c r="J25" s="23">
        <f>J6+J9+J10+J18+J20+J21+J24+J11+J12+J22+J19</f>
        <v>313712</v>
      </c>
      <c r="K25" s="23">
        <f>K6+K9+K10+K18+K20+K21+K24+K11+K12+K22</f>
        <v>96735</v>
      </c>
      <c r="L25" s="23">
        <f>L6+L9+L10+L18+L20+L21+L24+L11+L12+L22</f>
        <v>128201</v>
      </c>
      <c r="M25" s="23">
        <f>M6+M9+M10+M18+M20+M21+M24+M11+M12+M22</f>
        <v>256849</v>
      </c>
      <c r="N25" s="23">
        <f>N6+N9+N10+N18+N20+N21+N24+N11+N12+N22</f>
        <v>207336</v>
      </c>
      <c r="O25" s="23">
        <f t="shared" ref="O25:Y25" si="25">O6+O9+O10+O18+O20+O21+O24+O11+O13+O22</f>
        <v>213988</v>
      </c>
      <c r="P25" s="23">
        <f t="shared" si="25"/>
        <v>276842</v>
      </c>
      <c r="Q25" s="23">
        <f t="shared" si="25"/>
        <v>244958</v>
      </c>
      <c r="R25" s="23">
        <f t="shared" si="25"/>
        <v>252503</v>
      </c>
      <c r="S25" s="23">
        <f t="shared" si="25"/>
        <v>184910</v>
      </c>
      <c r="T25" s="23">
        <f t="shared" si="25"/>
        <v>52755</v>
      </c>
      <c r="U25" s="23">
        <f t="shared" si="25"/>
        <v>199271</v>
      </c>
      <c r="V25" s="23">
        <f t="shared" si="25"/>
        <v>52735</v>
      </c>
      <c r="W25" s="23">
        <f t="shared" si="25"/>
        <v>119635</v>
      </c>
      <c r="X25" s="23">
        <f t="shared" si="25"/>
        <v>-644614</v>
      </c>
      <c r="Y25" s="23">
        <f t="shared" si="25"/>
        <v>138396</v>
      </c>
      <c r="Z25" s="23">
        <f t="shared" ref="Z25:AC25" si="26">Z6+Z9+Z10+Z18+Z20+Z21+Z24+Z11+Z13+Z22+Z23</f>
        <v>180133</v>
      </c>
      <c r="AA25" s="23">
        <f t="shared" si="26"/>
        <v>170844</v>
      </c>
      <c r="AB25" s="23">
        <f t="shared" si="26"/>
        <v>189326</v>
      </c>
      <c r="AC25" s="23">
        <f t="shared" si="26"/>
        <v>213295</v>
      </c>
      <c r="AD25" s="23">
        <f>AD6+AD9+AD10+AD18+AD20+AD21+AD24+AD11+AD13+AD22+AD23</f>
        <v>205746</v>
      </c>
      <c r="AE25" s="23">
        <f t="shared" ref="AE25:AG25" si="27">AE6+AE9+AE10+AE18+AE20+AE21+AE24+AE11+AE13+AE22+AE23</f>
        <v>273384</v>
      </c>
      <c r="AF25" s="23">
        <f>AF6+AF9+AF10+AF18+AF20+AF21+AF24+AF11+AF13+AF22+AF23</f>
        <v>301881</v>
      </c>
      <c r="AG25" s="23">
        <f t="shared" si="27"/>
        <v>-35701</v>
      </c>
      <c r="AH25" s="23">
        <f t="shared" ref="AH25:AM25" si="28">AH6+AH9+AH10+AH18+AH20+AH21+AH24+AH11+AH13+AH22+AH23</f>
        <v>496460</v>
      </c>
      <c r="AI25" s="23">
        <f t="shared" si="28"/>
        <v>508875</v>
      </c>
      <c r="AJ25" s="23">
        <f t="shared" si="28"/>
        <v>677495</v>
      </c>
      <c r="AK25" s="23">
        <f t="shared" si="28"/>
        <v>740342</v>
      </c>
      <c r="AL25" s="23">
        <f t="shared" si="28"/>
        <v>780343</v>
      </c>
      <c r="AM25" s="23">
        <f t="shared" si="28"/>
        <v>768758</v>
      </c>
    </row>
    <row r="26" spans="1:39" ht="13" customHeight="1">
      <c r="A26" s="112" t="s">
        <v>213</v>
      </c>
      <c r="B26" s="112" t="s">
        <v>9</v>
      </c>
      <c r="C26" s="25">
        <v>-25747</v>
      </c>
      <c r="D26" s="25">
        <v>-15770</v>
      </c>
      <c r="E26" s="25">
        <v>-24012</v>
      </c>
      <c r="F26" s="25">
        <v>-11504</v>
      </c>
      <c r="G26" s="25">
        <v>-26159</v>
      </c>
      <c r="H26" s="25">
        <v>-29169</v>
      </c>
      <c r="I26" s="25">
        <v>-30650</v>
      </c>
      <c r="J26" s="25">
        <v>12641</v>
      </c>
      <c r="K26" s="25">
        <v>-34566</v>
      </c>
      <c r="L26" s="25">
        <v>-28411</v>
      </c>
      <c r="M26" s="25">
        <v>-78584</v>
      </c>
      <c r="N26" s="25">
        <v>-75990</v>
      </c>
      <c r="O26" s="25">
        <v>-56653</v>
      </c>
      <c r="P26" s="25">
        <v>-77011</v>
      </c>
      <c r="Q26" s="25">
        <v>-68141</v>
      </c>
      <c r="R26" s="25">
        <f>-70240-2873</f>
        <v>-73113</v>
      </c>
      <c r="S26" s="25">
        <v>-81421</v>
      </c>
      <c r="T26" s="25">
        <v>-62167</v>
      </c>
      <c r="U26" s="25">
        <v>-56672</v>
      </c>
      <c r="V26" s="25">
        <v>-41131</v>
      </c>
      <c r="W26" s="25">
        <v>-47504</v>
      </c>
      <c r="X26" s="25">
        <v>62168</v>
      </c>
      <c r="Y26" s="25">
        <v>-47735</v>
      </c>
      <c r="Z26" s="25">
        <v>-71712</v>
      </c>
      <c r="AA26" s="25">
        <v>-62750</v>
      </c>
      <c r="AB26" s="25">
        <v>-65515</v>
      </c>
      <c r="AC26" s="25">
        <v>-62913</v>
      </c>
      <c r="AD26" s="21">
        <v>-106108</v>
      </c>
      <c r="AE26" s="25">
        <v>-104214</v>
      </c>
      <c r="AF26" s="21">
        <v>-85667</v>
      </c>
      <c r="AG26" s="25">
        <v>-26860</v>
      </c>
      <c r="AH26" s="21">
        <v>-136172</v>
      </c>
      <c r="AI26" s="25">
        <v>-143091</v>
      </c>
      <c r="AJ26" s="21">
        <v>-171428</v>
      </c>
      <c r="AK26" s="25">
        <v>-168781</v>
      </c>
      <c r="AL26" s="21">
        <v>-193630</v>
      </c>
      <c r="AM26" s="25">
        <v>-190633</v>
      </c>
    </row>
    <row r="27" spans="1:39" ht="13" customHeight="1">
      <c r="A27" s="113" t="s">
        <v>322</v>
      </c>
      <c r="B27" s="113" t="s">
        <v>323</v>
      </c>
      <c r="C27" s="25">
        <f>C25+C26</f>
        <v>91479</v>
      </c>
      <c r="D27" s="25">
        <f t="shared" ref="D27:S27" si="29">D25+D26</f>
        <v>87203</v>
      </c>
      <c r="E27" s="25">
        <f t="shared" si="29"/>
        <v>90888</v>
      </c>
      <c r="F27" s="25">
        <f t="shared" si="29"/>
        <v>39405</v>
      </c>
      <c r="G27" s="25">
        <f t="shared" si="29"/>
        <v>80102</v>
      </c>
      <c r="H27" s="25">
        <f t="shared" si="29"/>
        <v>81634</v>
      </c>
      <c r="I27" s="25">
        <f t="shared" si="29"/>
        <v>86937</v>
      </c>
      <c r="J27" s="25">
        <f t="shared" si="29"/>
        <v>326353</v>
      </c>
      <c r="K27" s="25">
        <f t="shared" si="29"/>
        <v>62169</v>
      </c>
      <c r="L27" s="25">
        <f t="shared" si="29"/>
        <v>99790</v>
      </c>
      <c r="M27" s="25">
        <f t="shared" si="29"/>
        <v>178265</v>
      </c>
      <c r="N27" s="25">
        <f t="shared" si="29"/>
        <v>131346</v>
      </c>
      <c r="O27" s="25">
        <f t="shared" si="29"/>
        <v>157335</v>
      </c>
      <c r="P27" s="25">
        <f t="shared" si="29"/>
        <v>199831</v>
      </c>
      <c r="Q27" s="25">
        <f t="shared" si="29"/>
        <v>176817</v>
      </c>
      <c r="R27" s="25">
        <f t="shared" si="29"/>
        <v>179390</v>
      </c>
      <c r="S27" s="25">
        <f t="shared" si="29"/>
        <v>103489</v>
      </c>
      <c r="T27" s="25">
        <f>T25+T26</f>
        <v>-9412</v>
      </c>
      <c r="U27" s="25">
        <f>U25+U26</f>
        <v>142599</v>
      </c>
      <c r="V27" s="25">
        <f>V25+V26</f>
        <v>11604</v>
      </c>
      <c r="W27" s="25">
        <f t="shared" ref="W27:X27" si="30">W25+W26</f>
        <v>72131</v>
      </c>
      <c r="X27" s="25">
        <f t="shared" si="30"/>
        <v>-582446</v>
      </c>
      <c r="Y27" s="25">
        <f t="shared" ref="Y27:AD27" si="31">Y25+Y26</f>
        <v>90661</v>
      </c>
      <c r="Z27" s="25">
        <f t="shared" si="31"/>
        <v>108421</v>
      </c>
      <c r="AA27" s="25">
        <f t="shared" si="31"/>
        <v>108094</v>
      </c>
      <c r="AB27" s="25">
        <f t="shared" si="31"/>
        <v>123811</v>
      </c>
      <c r="AC27" s="25">
        <f t="shared" si="31"/>
        <v>150382</v>
      </c>
      <c r="AD27" s="25">
        <f t="shared" si="31"/>
        <v>99638</v>
      </c>
      <c r="AE27" s="25">
        <f t="shared" ref="AE27:AF27" si="32">AE25+AE26</f>
        <v>169170</v>
      </c>
      <c r="AF27" s="25">
        <f t="shared" si="32"/>
        <v>216214</v>
      </c>
      <c r="AG27" s="25">
        <f t="shared" ref="AG27:AH27" si="33">AG25+AG26</f>
        <v>-62561</v>
      </c>
      <c r="AH27" s="25">
        <f t="shared" si="33"/>
        <v>360288</v>
      </c>
      <c r="AI27" s="25">
        <f t="shared" ref="AI27:AJ27" si="34">AI25+AI26</f>
        <v>365784</v>
      </c>
      <c r="AJ27" s="25">
        <f t="shared" si="34"/>
        <v>506067</v>
      </c>
      <c r="AK27" s="25">
        <f t="shared" ref="AK27:AM27" si="35">AK25+AK26</f>
        <v>571561</v>
      </c>
      <c r="AL27" s="25">
        <v>586713</v>
      </c>
      <c r="AM27" s="25">
        <f t="shared" si="35"/>
        <v>578125</v>
      </c>
    </row>
    <row r="28" spans="1:39" ht="13" customHeight="1">
      <c r="A28" s="112" t="s">
        <v>324</v>
      </c>
      <c r="B28" s="112" t="s">
        <v>504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>
        <v>0</v>
      </c>
      <c r="X28" s="25">
        <v>-3052</v>
      </c>
      <c r="Y28" s="25">
        <v>-8875</v>
      </c>
      <c r="Z28" s="25">
        <v>11927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</row>
    <row r="29" spans="1:39" ht="13" customHeight="1">
      <c r="A29" s="79" t="s">
        <v>214</v>
      </c>
      <c r="B29" s="79" t="s">
        <v>336</v>
      </c>
      <c r="C29" s="26">
        <f t="shared" ref="C29:R29" si="36">C25+C26</f>
        <v>91479</v>
      </c>
      <c r="D29" s="23">
        <f t="shared" si="36"/>
        <v>87203</v>
      </c>
      <c r="E29" s="26">
        <f t="shared" si="36"/>
        <v>90888</v>
      </c>
      <c r="F29" s="23">
        <f t="shared" si="36"/>
        <v>39405</v>
      </c>
      <c r="G29" s="26">
        <f t="shared" si="36"/>
        <v>80102</v>
      </c>
      <c r="H29" s="23">
        <f t="shared" si="36"/>
        <v>81634</v>
      </c>
      <c r="I29" s="26">
        <f t="shared" si="36"/>
        <v>86937</v>
      </c>
      <c r="J29" s="23">
        <f t="shared" si="36"/>
        <v>326353</v>
      </c>
      <c r="K29" s="26">
        <f t="shared" si="36"/>
        <v>62169</v>
      </c>
      <c r="L29" s="23">
        <f t="shared" si="36"/>
        <v>99790</v>
      </c>
      <c r="M29" s="26">
        <f t="shared" si="36"/>
        <v>178265</v>
      </c>
      <c r="N29" s="23">
        <f t="shared" si="36"/>
        <v>131346</v>
      </c>
      <c r="O29" s="26">
        <f t="shared" si="36"/>
        <v>157335</v>
      </c>
      <c r="P29" s="23">
        <f>P25+P26</f>
        <v>199831</v>
      </c>
      <c r="Q29" s="26">
        <f t="shared" si="36"/>
        <v>176817</v>
      </c>
      <c r="R29" s="23">
        <f t="shared" si="36"/>
        <v>179390</v>
      </c>
      <c r="S29" s="23">
        <v>103489</v>
      </c>
      <c r="T29" s="23">
        <f>T25+T26</f>
        <v>-9412</v>
      </c>
      <c r="U29" s="26">
        <f>SUM(U25:U26)</f>
        <v>142599</v>
      </c>
      <c r="V29" s="26">
        <f>SUM(V25:V26)</f>
        <v>11604</v>
      </c>
      <c r="W29" s="26">
        <f>W27+W28</f>
        <v>72131</v>
      </c>
      <c r="X29" s="26">
        <f>X27+X28</f>
        <v>-585498</v>
      </c>
      <c r="Y29" s="26">
        <v>81786</v>
      </c>
      <c r="Z29" s="26">
        <f t="shared" ref="Z29:AE29" si="37">Z27+Z28</f>
        <v>120348</v>
      </c>
      <c r="AA29" s="26">
        <f t="shared" si="37"/>
        <v>108094</v>
      </c>
      <c r="AB29" s="26">
        <f t="shared" si="37"/>
        <v>123811</v>
      </c>
      <c r="AC29" s="26">
        <f t="shared" si="37"/>
        <v>150382</v>
      </c>
      <c r="AD29" s="26">
        <f t="shared" si="37"/>
        <v>99638</v>
      </c>
      <c r="AE29" s="26">
        <f t="shared" si="37"/>
        <v>169170</v>
      </c>
      <c r="AF29" s="26">
        <f t="shared" ref="AF29" si="38">AF27+AF28</f>
        <v>216214</v>
      </c>
      <c r="AG29" s="26">
        <f t="shared" ref="AG29:AL29" si="39">AG27+AG28</f>
        <v>-62561</v>
      </c>
      <c r="AH29" s="26">
        <f t="shared" si="39"/>
        <v>360288</v>
      </c>
      <c r="AI29" s="26">
        <f t="shared" si="39"/>
        <v>365784</v>
      </c>
      <c r="AJ29" s="26">
        <f t="shared" si="39"/>
        <v>506067</v>
      </c>
      <c r="AK29" s="26">
        <f t="shared" si="39"/>
        <v>571561</v>
      </c>
      <c r="AL29" s="26">
        <f t="shared" si="39"/>
        <v>586713</v>
      </c>
      <c r="AM29" s="26">
        <f t="shared" ref="AM29" si="40">AM27+AM28</f>
        <v>578125</v>
      </c>
    </row>
    <row r="30" spans="1:39" ht="13" customHeight="1">
      <c r="A30" s="114" t="s">
        <v>215</v>
      </c>
      <c r="B30" s="114" t="s">
        <v>505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41">U29</f>
        <v>142599</v>
      </c>
      <c r="V30" s="9">
        <f t="shared" si="41"/>
        <v>11604</v>
      </c>
      <c r="W30" s="9">
        <f t="shared" si="41"/>
        <v>72131</v>
      </c>
      <c r="X30" s="9">
        <f t="shared" si="41"/>
        <v>-585498</v>
      </c>
      <c r="Y30" s="9">
        <f t="shared" si="41"/>
        <v>81786</v>
      </c>
      <c r="Z30" s="9">
        <f>Z29</f>
        <v>120348</v>
      </c>
      <c r="AA30" s="9">
        <v>108094</v>
      </c>
      <c r="AB30" s="9">
        <f t="shared" ref="AB30:AG30" si="42">AB29</f>
        <v>123811</v>
      </c>
      <c r="AC30" s="9">
        <f t="shared" si="42"/>
        <v>150382</v>
      </c>
      <c r="AD30" s="9">
        <f t="shared" si="42"/>
        <v>99638</v>
      </c>
      <c r="AE30" s="9">
        <f t="shared" si="42"/>
        <v>169170</v>
      </c>
      <c r="AF30" s="9">
        <f t="shared" si="42"/>
        <v>216214</v>
      </c>
      <c r="AG30" s="9">
        <f t="shared" si="42"/>
        <v>-62561</v>
      </c>
      <c r="AH30" s="9">
        <f>AH29</f>
        <v>360288</v>
      </c>
      <c r="AI30" s="9">
        <f>AI29</f>
        <v>365784</v>
      </c>
      <c r="AJ30" s="9">
        <f>AJ29</f>
        <v>506067</v>
      </c>
      <c r="AK30" s="9">
        <f>AK29</f>
        <v>571561</v>
      </c>
      <c r="AL30" s="9">
        <v>586713</v>
      </c>
      <c r="AM30" s="9">
        <f>AM29</f>
        <v>578125</v>
      </c>
    </row>
    <row r="31" spans="1:39" ht="13" customHeight="1">
      <c r="A31" s="114" t="s">
        <v>216</v>
      </c>
      <c r="B31" s="114" t="s">
        <v>506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</row>
    <row r="32" spans="1:39" ht="13" customHeight="1">
      <c r="A32" s="114"/>
      <c r="B32" s="114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39" ht="13" customHeight="1" thickBot="1">
      <c r="A33" s="114"/>
      <c r="B33" s="11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B33" s="9"/>
      <c r="AD33" s="9"/>
    </row>
    <row r="34" spans="1:39" ht="13" customHeight="1" thickBot="1">
      <c r="A34" s="115" t="s">
        <v>575</v>
      </c>
      <c r="B34" s="115" t="s">
        <v>574</v>
      </c>
      <c r="C34" s="87" t="s">
        <v>433</v>
      </c>
      <c r="D34" s="87" t="s">
        <v>434</v>
      </c>
      <c r="E34" s="87" t="s">
        <v>435</v>
      </c>
      <c r="F34" s="87" t="s">
        <v>436</v>
      </c>
      <c r="G34" s="87" t="s">
        <v>437</v>
      </c>
      <c r="H34" s="87" t="s">
        <v>438</v>
      </c>
      <c r="I34" s="87" t="s">
        <v>439</v>
      </c>
      <c r="J34" s="87" t="s">
        <v>440</v>
      </c>
      <c r="K34" s="87" t="s">
        <v>441</v>
      </c>
      <c r="L34" s="87" t="s">
        <v>442</v>
      </c>
      <c r="M34" s="87" t="s">
        <v>443</v>
      </c>
      <c r="N34" s="87" t="s">
        <v>444</v>
      </c>
      <c r="O34" s="87" t="s">
        <v>445</v>
      </c>
      <c r="P34" s="87" t="s">
        <v>446</v>
      </c>
      <c r="Q34" s="87" t="s">
        <v>447</v>
      </c>
      <c r="R34" s="87" t="s">
        <v>448</v>
      </c>
      <c r="S34" s="87" t="s">
        <v>449</v>
      </c>
      <c r="T34" s="87" t="s">
        <v>450</v>
      </c>
      <c r="U34" s="87" t="s">
        <v>451</v>
      </c>
      <c r="V34" s="87" t="s">
        <v>452</v>
      </c>
      <c r="W34" s="87" t="s">
        <v>453</v>
      </c>
      <c r="X34" s="87" t="s">
        <v>454</v>
      </c>
      <c r="Y34" s="87" t="s">
        <v>455</v>
      </c>
      <c r="Z34" s="87" t="s">
        <v>456</v>
      </c>
      <c r="AA34" s="87" t="s">
        <v>457</v>
      </c>
      <c r="AB34" s="87" t="s">
        <v>458</v>
      </c>
      <c r="AC34" s="87" t="s">
        <v>459</v>
      </c>
      <c r="AD34" s="87" t="s">
        <v>461</v>
      </c>
      <c r="AE34" s="87" t="s">
        <v>492</v>
      </c>
      <c r="AF34" s="87" t="s">
        <v>494</v>
      </c>
      <c r="AG34" s="87" t="s">
        <v>523</v>
      </c>
      <c r="AH34" s="87" t="s">
        <v>662</v>
      </c>
      <c r="AI34" s="87" t="s">
        <v>672</v>
      </c>
      <c r="AJ34" s="87" t="s">
        <v>678</v>
      </c>
      <c r="AK34" s="87" t="s">
        <v>684</v>
      </c>
      <c r="AL34" s="87" t="s">
        <v>690</v>
      </c>
      <c r="AM34" s="1" t="s">
        <v>696</v>
      </c>
    </row>
    <row r="35" spans="1:39" ht="13" customHeight="1">
      <c r="A35" s="79" t="s">
        <v>214</v>
      </c>
      <c r="B35" s="79" t="s">
        <v>565</v>
      </c>
      <c r="C35" s="40">
        <v>91479</v>
      </c>
      <c r="D35" s="40">
        <v>87203</v>
      </c>
      <c r="E35" s="40">
        <v>90888</v>
      </c>
      <c r="F35" s="40">
        <v>39405</v>
      </c>
      <c r="G35" s="40">
        <v>80102</v>
      </c>
      <c r="H35" s="40">
        <v>81634</v>
      </c>
      <c r="I35" s="40">
        <v>86937</v>
      </c>
      <c r="J35" s="40">
        <v>326353</v>
      </c>
      <c r="K35" s="40">
        <v>62169</v>
      </c>
      <c r="L35" s="40">
        <v>99790</v>
      </c>
      <c r="M35" s="40">
        <v>178265</v>
      </c>
      <c r="N35" s="40">
        <v>131346</v>
      </c>
      <c r="O35" s="40">
        <v>157335</v>
      </c>
      <c r="P35" s="40">
        <v>199831</v>
      </c>
      <c r="Q35" s="40">
        <v>176817</v>
      </c>
      <c r="R35" s="40">
        <v>179390</v>
      </c>
      <c r="S35" s="40">
        <v>103489</v>
      </c>
      <c r="T35" s="40">
        <v>-9412</v>
      </c>
      <c r="U35" s="40">
        <v>142599</v>
      </c>
      <c r="V35" s="40">
        <v>11604</v>
      </c>
      <c r="W35" s="40">
        <v>72131</v>
      </c>
      <c r="X35" s="40">
        <v>-585498</v>
      </c>
      <c r="Y35" s="40">
        <v>81786</v>
      </c>
      <c r="Z35" s="40">
        <v>120348</v>
      </c>
      <c r="AA35" s="40">
        <v>108094</v>
      </c>
      <c r="AB35" s="40">
        <v>123811</v>
      </c>
      <c r="AC35" s="40">
        <v>150382</v>
      </c>
      <c r="AD35" s="40">
        <v>99638</v>
      </c>
      <c r="AE35" s="40">
        <v>169170</v>
      </c>
      <c r="AF35" s="40">
        <v>216214</v>
      </c>
      <c r="AG35" s="40">
        <v>-62561</v>
      </c>
      <c r="AH35" s="40">
        <v>360288</v>
      </c>
      <c r="AI35" s="40">
        <v>365784</v>
      </c>
      <c r="AJ35" s="40">
        <v>506067</v>
      </c>
      <c r="AK35" s="40">
        <v>571561</v>
      </c>
      <c r="AL35" s="40">
        <v>586713</v>
      </c>
      <c r="AM35" s="40">
        <v>578125</v>
      </c>
    </row>
    <row r="36" spans="1:39" ht="13" customHeight="1">
      <c r="A36" s="79" t="s">
        <v>558</v>
      </c>
      <c r="B36" s="79" t="s">
        <v>566</v>
      </c>
      <c r="C36" s="40">
        <f t="shared" ref="C36:AH36" si="43">C37+C38+C41</f>
        <v>12581</v>
      </c>
      <c r="D36" s="40">
        <f t="shared" si="43"/>
        <v>-56742</v>
      </c>
      <c r="E36" s="40">
        <f t="shared" si="43"/>
        <v>31713</v>
      </c>
      <c r="F36" s="40">
        <f t="shared" si="43"/>
        <v>6237</v>
      </c>
      <c r="G36" s="40">
        <f t="shared" si="43"/>
        <v>7391</v>
      </c>
      <c r="H36" s="40">
        <f t="shared" si="43"/>
        <v>-25886</v>
      </c>
      <c r="I36" s="40">
        <f t="shared" si="43"/>
        <v>-10578</v>
      </c>
      <c r="J36" s="40">
        <f t="shared" si="43"/>
        <v>-57779</v>
      </c>
      <c r="K36" s="40">
        <f t="shared" si="43"/>
        <v>27406</v>
      </c>
      <c r="L36" s="40">
        <f t="shared" si="43"/>
        <v>12947</v>
      </c>
      <c r="M36" s="40">
        <f t="shared" si="43"/>
        <v>34853</v>
      </c>
      <c r="N36" s="40">
        <f t="shared" si="43"/>
        <v>10969</v>
      </c>
      <c r="O36" s="40">
        <f t="shared" si="43"/>
        <v>65057</v>
      </c>
      <c r="P36" s="40">
        <f t="shared" si="43"/>
        <v>-26006</v>
      </c>
      <c r="Q36" s="40">
        <f t="shared" si="43"/>
        <v>-17111</v>
      </c>
      <c r="R36" s="40">
        <f t="shared" si="43"/>
        <v>4855</v>
      </c>
      <c r="S36" s="40">
        <f t="shared" si="43"/>
        <v>-48499</v>
      </c>
      <c r="T36" s="40">
        <f t="shared" si="43"/>
        <v>58736</v>
      </c>
      <c r="U36" s="40">
        <f t="shared" si="43"/>
        <v>10388</v>
      </c>
      <c r="V36" s="40">
        <f t="shared" si="43"/>
        <v>4422</v>
      </c>
      <c r="W36" s="40">
        <f t="shared" si="43"/>
        <v>-9684</v>
      </c>
      <c r="X36" s="40">
        <f t="shared" si="43"/>
        <v>153210</v>
      </c>
      <c r="Y36" s="40">
        <f t="shared" si="43"/>
        <v>16539</v>
      </c>
      <c r="Z36" s="40">
        <f t="shared" si="43"/>
        <v>-21364</v>
      </c>
      <c r="AA36" s="40">
        <f t="shared" si="43"/>
        <v>-121974</v>
      </c>
      <c r="AB36" s="40">
        <f t="shared" si="43"/>
        <v>-87473</v>
      </c>
      <c r="AC36" s="40">
        <f t="shared" si="43"/>
        <v>-131865</v>
      </c>
      <c r="AD36" s="40">
        <f t="shared" si="43"/>
        <v>-781100</v>
      </c>
      <c r="AE36" s="40">
        <f t="shared" si="43"/>
        <v>-508697</v>
      </c>
      <c r="AF36" s="40">
        <f t="shared" si="43"/>
        <v>-474872</v>
      </c>
      <c r="AG36" s="40">
        <f t="shared" si="43"/>
        <v>187275</v>
      </c>
      <c r="AH36" s="40">
        <f t="shared" si="43"/>
        <v>363846</v>
      </c>
      <c r="AI36" s="40">
        <f t="shared" ref="AI36:AJ36" si="44">AI37+AI38+AI41</f>
        <v>373227</v>
      </c>
      <c r="AJ36" s="40">
        <f t="shared" si="44"/>
        <v>270803</v>
      </c>
      <c r="AK36" s="40">
        <f t="shared" ref="AK36:AL36" si="45">AK37+AK38+AK41</f>
        <v>327328</v>
      </c>
      <c r="AL36" s="40">
        <f t="shared" si="45"/>
        <v>78605</v>
      </c>
      <c r="AM36" s="40">
        <f t="shared" ref="AM36" si="46">AM37+AM38+AM41</f>
        <v>-9711</v>
      </c>
    </row>
    <row r="37" spans="1:39" ht="13" customHeight="1">
      <c r="A37" s="113" t="s">
        <v>501</v>
      </c>
      <c r="B37" s="113" t="s">
        <v>47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16</v>
      </c>
      <c r="J37" s="92">
        <v>-38</v>
      </c>
      <c r="K37" s="92">
        <v>72</v>
      </c>
      <c r="L37" s="92">
        <v>5</v>
      </c>
      <c r="M37" s="92">
        <v>-52</v>
      </c>
      <c r="N37" s="92">
        <v>591</v>
      </c>
      <c r="O37" s="92">
        <v>-615</v>
      </c>
      <c r="P37" s="92">
        <v>-209</v>
      </c>
      <c r="Q37" s="92">
        <v>224</v>
      </c>
      <c r="R37" s="92">
        <v>-196</v>
      </c>
      <c r="S37" s="92">
        <v>240</v>
      </c>
      <c r="T37" s="92">
        <v>71</v>
      </c>
      <c r="U37" s="92">
        <v>-450</v>
      </c>
      <c r="V37" s="92">
        <v>946</v>
      </c>
      <c r="W37" s="92">
        <v>-1232</v>
      </c>
      <c r="X37" s="92">
        <v>469</v>
      </c>
      <c r="Y37" s="92">
        <v>-350</v>
      </c>
      <c r="Z37" s="132">
        <v>-1112</v>
      </c>
      <c r="AA37" s="92">
        <v>1448</v>
      </c>
      <c r="AB37" s="92">
        <v>456</v>
      </c>
      <c r="AC37" s="92">
        <v>-698</v>
      </c>
      <c r="AD37" s="92">
        <v>371</v>
      </c>
      <c r="AE37" s="92">
        <v>65</v>
      </c>
      <c r="AF37" s="92">
        <v>-257</v>
      </c>
      <c r="AG37" s="92">
        <v>-1405</v>
      </c>
      <c r="AH37" s="92">
        <v>1923</v>
      </c>
      <c r="AI37" s="92">
        <v>-244</v>
      </c>
      <c r="AJ37" s="92">
        <v>1329</v>
      </c>
      <c r="AK37" s="92">
        <v>-1262</v>
      </c>
      <c r="AL37" s="92">
        <v>2146</v>
      </c>
      <c r="AM37" s="92">
        <v>-2236</v>
      </c>
    </row>
    <row r="38" spans="1:39" ht="13" customHeight="1">
      <c r="A38" s="113" t="s">
        <v>559</v>
      </c>
      <c r="B38" s="113" t="s">
        <v>567</v>
      </c>
      <c r="C38" s="92">
        <f>C39+C40</f>
        <v>5365</v>
      </c>
      <c r="D38" s="92">
        <f>D39+D40</f>
        <v>-19533</v>
      </c>
      <c r="E38" s="92">
        <f t="shared" ref="E38:P38" si="47">E39+E40</f>
        <v>3599</v>
      </c>
      <c r="F38" s="92">
        <f t="shared" si="47"/>
        <v>9943</v>
      </c>
      <c r="G38" s="92">
        <f t="shared" si="47"/>
        <v>9087</v>
      </c>
      <c r="H38" s="92">
        <f t="shared" si="47"/>
        <v>-16950</v>
      </c>
      <c r="I38" s="92">
        <f t="shared" si="47"/>
        <v>-3604</v>
      </c>
      <c r="J38" s="92">
        <f t="shared" si="47"/>
        <v>-44601</v>
      </c>
      <c r="K38" s="92">
        <f t="shared" si="47"/>
        <v>22655</v>
      </c>
      <c r="L38" s="92">
        <f t="shared" si="47"/>
        <v>11928</v>
      </c>
      <c r="M38" s="92">
        <f t="shared" si="47"/>
        <v>30912</v>
      </c>
      <c r="N38" s="92">
        <f t="shared" si="47"/>
        <v>20366</v>
      </c>
      <c r="O38" s="92">
        <f t="shared" si="47"/>
        <v>50731</v>
      </c>
      <c r="P38" s="92">
        <f t="shared" si="47"/>
        <v>-29871</v>
      </c>
      <c r="Q38" s="92">
        <f t="shared" ref="Q38:AH38" si="48">Q39+Q40</f>
        <v>-11402</v>
      </c>
      <c r="R38" s="92">
        <f t="shared" si="48"/>
        <v>-16116</v>
      </c>
      <c r="S38" s="92">
        <f t="shared" si="48"/>
        <v>-59145</v>
      </c>
      <c r="T38" s="92">
        <f t="shared" si="48"/>
        <v>49935</v>
      </c>
      <c r="U38" s="92">
        <f t="shared" si="48"/>
        <v>2825</v>
      </c>
      <c r="V38" s="92">
        <f t="shared" si="48"/>
        <v>15273</v>
      </c>
      <c r="W38" s="92">
        <f t="shared" si="48"/>
        <v>-107550</v>
      </c>
      <c r="X38" s="92">
        <f t="shared" si="48"/>
        <v>105231</v>
      </c>
      <c r="Y38" s="92">
        <f t="shared" si="48"/>
        <v>21591</v>
      </c>
      <c r="Z38" s="92">
        <f t="shared" si="48"/>
        <v>6483</v>
      </c>
      <c r="AA38" s="92">
        <f t="shared" si="48"/>
        <v>7545</v>
      </c>
      <c r="AB38" s="92">
        <f t="shared" si="48"/>
        <v>-29420</v>
      </c>
      <c r="AC38" s="92">
        <f t="shared" si="48"/>
        <v>519</v>
      </c>
      <c r="AD38" s="92">
        <f t="shared" si="48"/>
        <v>-42255</v>
      </c>
      <c r="AE38" s="92">
        <f t="shared" si="48"/>
        <v>-79053</v>
      </c>
      <c r="AF38" s="92">
        <f t="shared" si="48"/>
        <v>-93270</v>
      </c>
      <c r="AG38" s="92">
        <f t="shared" si="48"/>
        <v>5806</v>
      </c>
      <c r="AH38" s="92">
        <f t="shared" si="48"/>
        <v>25145</v>
      </c>
      <c r="AI38" s="92">
        <f t="shared" ref="AI38:AJ38" si="49">AI39+AI40</f>
        <v>92644</v>
      </c>
      <c r="AJ38" s="92">
        <f t="shared" si="49"/>
        <v>17138</v>
      </c>
      <c r="AK38" s="92">
        <f t="shared" ref="AK38:AL38" si="50">AK39+AK40</f>
        <v>995</v>
      </c>
      <c r="AL38" s="92">
        <f t="shared" si="50"/>
        <v>76477</v>
      </c>
      <c r="AM38" s="92">
        <f t="shared" ref="AM38" si="51">AM39+AM40</f>
        <v>54092</v>
      </c>
    </row>
    <row r="39" spans="1:39" ht="13" customHeight="1">
      <c r="A39" s="80" t="s">
        <v>560</v>
      </c>
      <c r="B39" s="80" t="s">
        <v>669</v>
      </c>
      <c r="C39" s="132">
        <v>6597</v>
      </c>
      <c r="D39" s="132">
        <v>-24088</v>
      </c>
      <c r="E39" s="132">
        <v>4443</v>
      </c>
      <c r="F39" s="132">
        <v>12275</v>
      </c>
      <c r="G39" s="132">
        <v>11218</v>
      </c>
      <c r="H39" s="132">
        <v>-20925</v>
      </c>
      <c r="I39" s="132">
        <v>-4450</v>
      </c>
      <c r="J39" s="132">
        <v>-55063</v>
      </c>
      <c r="K39" s="132">
        <v>27528</v>
      </c>
      <c r="L39" s="132">
        <v>14842</v>
      </c>
      <c r="M39" s="132">
        <v>37517</v>
      </c>
      <c r="N39" s="132">
        <v>25738</v>
      </c>
      <c r="O39" s="132">
        <v>63007</v>
      </c>
      <c r="P39" s="132">
        <v>-36877</v>
      </c>
      <c r="Q39" s="132">
        <v>-14076</v>
      </c>
      <c r="R39" s="132">
        <v>-19897</v>
      </c>
      <c r="S39" s="132">
        <v>-73019</v>
      </c>
      <c r="T39" s="132">
        <v>61648</v>
      </c>
      <c r="U39" s="132">
        <v>3488</v>
      </c>
      <c r="V39" s="132">
        <v>18856</v>
      </c>
      <c r="W39" s="132">
        <v>-132777</v>
      </c>
      <c r="X39" s="132">
        <v>129908</v>
      </c>
      <c r="Y39" s="132">
        <v>26657</v>
      </c>
      <c r="Z39" s="132">
        <v>8005</v>
      </c>
      <c r="AA39" s="132">
        <v>9317</v>
      </c>
      <c r="AB39" s="93">
        <v>-36335</v>
      </c>
      <c r="AC39" s="93">
        <v>647</v>
      </c>
      <c r="AD39" s="93">
        <v>-52128</v>
      </c>
      <c r="AE39" s="93">
        <v>-99610</v>
      </c>
      <c r="AF39" s="93">
        <v>-115145</v>
      </c>
      <c r="AG39" s="93">
        <v>7151</v>
      </c>
      <c r="AH39" s="93">
        <v>30991</v>
      </c>
      <c r="AI39" s="93">
        <v>114393</v>
      </c>
      <c r="AJ39" s="93">
        <v>21153</v>
      </c>
      <c r="AK39" s="93">
        <v>3251</v>
      </c>
      <c r="AL39" s="93">
        <v>94417</v>
      </c>
      <c r="AM39" s="93">
        <v>66780</v>
      </c>
    </row>
    <row r="40" spans="1:39" ht="13" customHeight="1">
      <c r="A40" s="80" t="s">
        <v>561</v>
      </c>
      <c r="B40" s="80" t="s">
        <v>568</v>
      </c>
      <c r="C40" s="132">
        <v>-1232</v>
      </c>
      <c r="D40" s="132">
        <v>4555</v>
      </c>
      <c r="E40" s="132">
        <v>-844</v>
      </c>
      <c r="F40" s="132">
        <v>-2332</v>
      </c>
      <c r="G40" s="132">
        <v>-2131</v>
      </c>
      <c r="H40" s="132">
        <v>3975</v>
      </c>
      <c r="I40" s="132">
        <v>846</v>
      </c>
      <c r="J40" s="132">
        <v>10462</v>
      </c>
      <c r="K40" s="132">
        <v>-4873</v>
      </c>
      <c r="L40" s="132">
        <v>-2914</v>
      </c>
      <c r="M40" s="132">
        <v>-6605</v>
      </c>
      <c r="N40" s="132">
        <v>-5372</v>
      </c>
      <c r="O40" s="132">
        <v>-12276</v>
      </c>
      <c r="P40" s="132">
        <v>7006</v>
      </c>
      <c r="Q40" s="132">
        <v>2674</v>
      </c>
      <c r="R40" s="132">
        <v>3781</v>
      </c>
      <c r="S40" s="132">
        <v>13874</v>
      </c>
      <c r="T40" s="132">
        <v>-11713</v>
      </c>
      <c r="U40" s="132">
        <v>-663</v>
      </c>
      <c r="V40" s="132">
        <v>-3583</v>
      </c>
      <c r="W40" s="132">
        <v>25227</v>
      </c>
      <c r="X40" s="132">
        <v>-24677</v>
      </c>
      <c r="Y40" s="132">
        <v>-5066</v>
      </c>
      <c r="Z40" s="132">
        <v>-1522</v>
      </c>
      <c r="AA40" s="132">
        <v>-1772</v>
      </c>
      <c r="AB40" s="132">
        <v>6915</v>
      </c>
      <c r="AC40" s="93">
        <v>-128</v>
      </c>
      <c r="AD40" s="93">
        <v>9873</v>
      </c>
      <c r="AE40" s="93">
        <v>20557</v>
      </c>
      <c r="AF40" s="93">
        <v>21875</v>
      </c>
      <c r="AG40" s="93">
        <v>-1345</v>
      </c>
      <c r="AH40" s="93">
        <v>-5846</v>
      </c>
      <c r="AI40" s="93">
        <v>-21749</v>
      </c>
      <c r="AJ40" s="93">
        <v>-4015</v>
      </c>
      <c r="AK40" s="93">
        <v>-2256</v>
      </c>
      <c r="AL40" s="93">
        <v>-17940</v>
      </c>
      <c r="AM40" s="93">
        <v>-12688</v>
      </c>
    </row>
    <row r="41" spans="1:39" ht="13" customHeight="1">
      <c r="A41" s="113" t="s">
        <v>562</v>
      </c>
      <c r="B41" s="113" t="s">
        <v>569</v>
      </c>
      <c r="C41" s="92">
        <f t="shared" ref="C41:U41" si="52">C42+C43</f>
        <v>7216</v>
      </c>
      <c r="D41" s="92">
        <f t="shared" si="52"/>
        <v>-37209</v>
      </c>
      <c r="E41" s="92">
        <f t="shared" si="52"/>
        <v>28114</v>
      </c>
      <c r="F41" s="92">
        <f t="shared" si="52"/>
        <v>-3706</v>
      </c>
      <c r="G41" s="92">
        <f t="shared" si="52"/>
        <v>-1696</v>
      </c>
      <c r="H41" s="92">
        <f t="shared" si="52"/>
        <v>-8936</v>
      </c>
      <c r="I41" s="92">
        <f t="shared" si="52"/>
        <v>-6990</v>
      </c>
      <c r="J41" s="92">
        <f t="shared" si="52"/>
        <v>-13140</v>
      </c>
      <c r="K41" s="92">
        <f t="shared" si="52"/>
        <v>4679</v>
      </c>
      <c r="L41" s="92">
        <f t="shared" si="52"/>
        <v>1014</v>
      </c>
      <c r="M41" s="92">
        <f t="shared" si="52"/>
        <v>3993</v>
      </c>
      <c r="N41" s="92">
        <f t="shared" si="52"/>
        <v>-9988</v>
      </c>
      <c r="O41" s="92">
        <f t="shared" si="52"/>
        <v>14941</v>
      </c>
      <c r="P41" s="92">
        <f t="shared" si="52"/>
        <v>4074</v>
      </c>
      <c r="Q41" s="92">
        <f t="shared" si="52"/>
        <v>-5933</v>
      </c>
      <c r="R41" s="92">
        <f t="shared" si="52"/>
        <v>21167</v>
      </c>
      <c r="S41" s="92">
        <f t="shared" si="52"/>
        <v>10406</v>
      </c>
      <c r="T41" s="92">
        <f t="shared" si="52"/>
        <v>8730</v>
      </c>
      <c r="U41" s="92">
        <f t="shared" si="52"/>
        <v>8013</v>
      </c>
      <c r="V41" s="92">
        <v>-11797</v>
      </c>
      <c r="W41" s="92">
        <f t="shared" ref="W41:AH41" si="53">W42+W43</f>
        <v>99098</v>
      </c>
      <c r="X41" s="92">
        <f t="shared" si="53"/>
        <v>47510</v>
      </c>
      <c r="Y41" s="92">
        <f t="shared" si="53"/>
        <v>-4702</v>
      </c>
      <c r="Z41" s="92">
        <f t="shared" si="53"/>
        <v>-26735</v>
      </c>
      <c r="AA41" s="92">
        <f t="shared" si="53"/>
        <v>-130967</v>
      </c>
      <c r="AB41" s="92">
        <f t="shared" si="53"/>
        <v>-58509</v>
      </c>
      <c r="AC41" s="92">
        <f t="shared" si="53"/>
        <v>-131686</v>
      </c>
      <c r="AD41" s="92">
        <f t="shared" si="53"/>
        <v>-739216</v>
      </c>
      <c r="AE41" s="92">
        <f t="shared" si="53"/>
        <v>-429709</v>
      </c>
      <c r="AF41" s="92">
        <f t="shared" si="53"/>
        <v>-381345</v>
      </c>
      <c r="AG41" s="92">
        <f t="shared" si="53"/>
        <v>182874</v>
      </c>
      <c r="AH41" s="92">
        <f t="shared" si="53"/>
        <v>336778</v>
      </c>
      <c r="AI41" s="92">
        <f t="shared" ref="AI41:AJ41" si="54">AI42+AI43</f>
        <v>280827</v>
      </c>
      <c r="AJ41" s="92">
        <f t="shared" si="54"/>
        <v>252336</v>
      </c>
      <c r="AK41" s="92">
        <f t="shared" ref="AK41:AM41" si="55">AK42+AK43</f>
        <v>327595</v>
      </c>
      <c r="AL41" s="92">
        <v>-18</v>
      </c>
      <c r="AM41" s="92">
        <f t="shared" si="55"/>
        <v>-61567</v>
      </c>
    </row>
    <row r="42" spans="1:39" ht="13" customHeight="1">
      <c r="A42" s="80" t="s">
        <v>563</v>
      </c>
      <c r="B42" s="80" t="s">
        <v>570</v>
      </c>
      <c r="C42" s="132">
        <v>8911</v>
      </c>
      <c r="D42" s="132">
        <v>-45937</v>
      </c>
      <c r="E42" s="132">
        <v>34709</v>
      </c>
      <c r="F42" s="132">
        <v>-4578</v>
      </c>
      <c r="G42" s="132">
        <v>-2093</v>
      </c>
      <c r="H42" s="132">
        <v>-11033</v>
      </c>
      <c r="I42" s="132">
        <v>-8630</v>
      </c>
      <c r="J42" s="132">
        <v>-16222</v>
      </c>
      <c r="K42" s="132">
        <v>5588</v>
      </c>
      <c r="L42" s="132">
        <v>1056</v>
      </c>
      <c r="M42" s="132">
        <v>4767</v>
      </c>
      <c r="N42" s="132">
        <v>-11784</v>
      </c>
      <c r="O42" s="132">
        <v>18446</v>
      </c>
      <c r="P42" s="132">
        <v>5029</v>
      </c>
      <c r="Q42" s="132">
        <v>-7325</v>
      </c>
      <c r="R42" s="132">
        <v>26133</v>
      </c>
      <c r="S42" s="132">
        <v>12847</v>
      </c>
      <c r="T42" s="132">
        <v>10778</v>
      </c>
      <c r="U42" s="132">
        <v>9892</v>
      </c>
      <c r="V42" s="132">
        <v>-14564</v>
      </c>
      <c r="W42" s="132">
        <v>122343</v>
      </c>
      <c r="X42" s="132">
        <v>58655</v>
      </c>
      <c r="Y42" s="132">
        <v>-5806</v>
      </c>
      <c r="Z42" s="132">
        <v>-33006</v>
      </c>
      <c r="AA42" s="132">
        <v>-161688</v>
      </c>
      <c r="AB42" s="132">
        <v>-72233</v>
      </c>
      <c r="AC42" s="93">
        <v>-162576</v>
      </c>
      <c r="AD42" s="93">
        <v>-912612</v>
      </c>
      <c r="AE42" s="93">
        <v>-530505</v>
      </c>
      <c r="AF42" s="93">
        <v>-470796</v>
      </c>
      <c r="AG42" s="93">
        <v>225770</v>
      </c>
      <c r="AH42" s="93">
        <v>415776</v>
      </c>
      <c r="AI42" s="93">
        <v>346700</v>
      </c>
      <c r="AJ42" s="93">
        <v>311526</v>
      </c>
      <c r="AK42" s="93">
        <v>404438</v>
      </c>
      <c r="AL42" s="93">
        <v>-22</v>
      </c>
      <c r="AM42" s="93">
        <v>-76008</v>
      </c>
    </row>
    <row r="43" spans="1:39" ht="13" customHeight="1">
      <c r="A43" s="80" t="s">
        <v>561</v>
      </c>
      <c r="B43" s="80" t="s">
        <v>568</v>
      </c>
      <c r="C43" s="132">
        <v>-1695</v>
      </c>
      <c r="D43" s="132">
        <v>8728</v>
      </c>
      <c r="E43" s="132">
        <v>-6595</v>
      </c>
      <c r="F43" s="132">
        <v>872</v>
      </c>
      <c r="G43" s="132">
        <v>397</v>
      </c>
      <c r="H43" s="132">
        <v>2097</v>
      </c>
      <c r="I43" s="132">
        <v>1640</v>
      </c>
      <c r="J43" s="132">
        <v>3082</v>
      </c>
      <c r="K43" s="132">
        <v>-909</v>
      </c>
      <c r="L43" s="132">
        <v>-42</v>
      </c>
      <c r="M43" s="132">
        <v>-774</v>
      </c>
      <c r="N43" s="132">
        <v>1796</v>
      </c>
      <c r="O43" s="132">
        <v>-3505</v>
      </c>
      <c r="P43" s="132">
        <v>-955</v>
      </c>
      <c r="Q43" s="132">
        <v>1392</v>
      </c>
      <c r="R43" s="132">
        <v>-4966</v>
      </c>
      <c r="S43" s="132">
        <v>-2441</v>
      </c>
      <c r="T43" s="132">
        <v>-2048</v>
      </c>
      <c r="U43" s="132">
        <v>-1879</v>
      </c>
      <c r="V43" s="132">
        <v>2767</v>
      </c>
      <c r="W43" s="132">
        <v>-23245</v>
      </c>
      <c r="X43" s="132">
        <v>-11145</v>
      </c>
      <c r="Y43" s="132">
        <v>1104</v>
      </c>
      <c r="Z43" s="132">
        <v>6271</v>
      </c>
      <c r="AA43" s="132">
        <v>30721</v>
      </c>
      <c r="AB43" s="132">
        <v>13724</v>
      </c>
      <c r="AC43" s="93">
        <v>30890</v>
      </c>
      <c r="AD43" s="93">
        <v>173396</v>
      </c>
      <c r="AE43" s="93">
        <v>100796</v>
      </c>
      <c r="AF43" s="93">
        <v>89451</v>
      </c>
      <c r="AG43" s="93">
        <v>-42896</v>
      </c>
      <c r="AH43" s="93">
        <v>-78998</v>
      </c>
      <c r="AI43" s="93">
        <v>-65873</v>
      </c>
      <c r="AJ43" s="93">
        <v>-59190</v>
      </c>
      <c r="AK43" s="93">
        <v>-76843</v>
      </c>
      <c r="AL43" s="93">
        <v>4</v>
      </c>
      <c r="AM43" s="93">
        <v>14441</v>
      </c>
    </row>
    <row r="44" spans="1:39" ht="13" customHeight="1">
      <c r="A44" s="79" t="s">
        <v>573</v>
      </c>
      <c r="B44" s="79" t="s">
        <v>571</v>
      </c>
      <c r="C44" s="40">
        <f t="shared" ref="C44:P44" si="56">C35+C36</f>
        <v>104060</v>
      </c>
      <c r="D44" s="40">
        <f t="shared" si="56"/>
        <v>30461</v>
      </c>
      <c r="E44" s="40">
        <f t="shared" si="56"/>
        <v>122601</v>
      </c>
      <c r="F44" s="40">
        <f t="shared" si="56"/>
        <v>45642</v>
      </c>
      <c r="G44" s="40">
        <f t="shared" si="56"/>
        <v>87493</v>
      </c>
      <c r="H44" s="40">
        <f t="shared" si="56"/>
        <v>55748</v>
      </c>
      <c r="I44" s="40">
        <f t="shared" si="56"/>
        <v>76359</v>
      </c>
      <c r="J44" s="40">
        <f t="shared" si="56"/>
        <v>268574</v>
      </c>
      <c r="K44" s="40">
        <f t="shared" si="56"/>
        <v>89575</v>
      </c>
      <c r="L44" s="40">
        <f t="shared" si="56"/>
        <v>112737</v>
      </c>
      <c r="M44" s="40">
        <f t="shared" si="56"/>
        <v>213118</v>
      </c>
      <c r="N44" s="40">
        <f t="shared" si="56"/>
        <v>142315</v>
      </c>
      <c r="O44" s="40">
        <f t="shared" si="56"/>
        <v>222392</v>
      </c>
      <c r="P44" s="40">
        <f t="shared" si="56"/>
        <v>173825</v>
      </c>
      <c r="Q44" s="40">
        <f t="shared" ref="Q44:AH44" si="57">Q35+Q36</f>
        <v>159706</v>
      </c>
      <c r="R44" s="40">
        <f t="shared" si="57"/>
        <v>184245</v>
      </c>
      <c r="S44" s="40">
        <f t="shared" si="57"/>
        <v>54990</v>
      </c>
      <c r="T44" s="40">
        <f t="shared" si="57"/>
        <v>49324</v>
      </c>
      <c r="U44" s="40">
        <f t="shared" si="57"/>
        <v>152987</v>
      </c>
      <c r="V44" s="40">
        <f t="shared" si="57"/>
        <v>16026</v>
      </c>
      <c r="W44" s="40">
        <f t="shared" si="57"/>
        <v>62447</v>
      </c>
      <c r="X44" s="40">
        <f t="shared" si="57"/>
        <v>-432288</v>
      </c>
      <c r="Y44" s="40">
        <f t="shared" si="57"/>
        <v>98325</v>
      </c>
      <c r="Z44" s="40">
        <f t="shared" si="57"/>
        <v>98984</v>
      </c>
      <c r="AA44" s="40">
        <f t="shared" si="57"/>
        <v>-13880</v>
      </c>
      <c r="AB44" s="40">
        <f t="shared" si="57"/>
        <v>36338</v>
      </c>
      <c r="AC44" s="40">
        <f t="shared" si="57"/>
        <v>18517</v>
      </c>
      <c r="AD44" s="40">
        <f t="shared" si="57"/>
        <v>-681462</v>
      </c>
      <c r="AE44" s="40">
        <f t="shared" si="57"/>
        <v>-339527</v>
      </c>
      <c r="AF44" s="40">
        <f t="shared" si="57"/>
        <v>-258658</v>
      </c>
      <c r="AG44" s="40">
        <f t="shared" si="57"/>
        <v>124714</v>
      </c>
      <c r="AH44" s="40">
        <f t="shared" si="57"/>
        <v>724134</v>
      </c>
      <c r="AI44" s="40">
        <f t="shared" ref="AI44:AJ44" si="58">AI35+AI36</f>
        <v>739011</v>
      </c>
      <c r="AJ44" s="40">
        <f t="shared" si="58"/>
        <v>776870</v>
      </c>
      <c r="AK44" s="40">
        <f>AK35+AK36</f>
        <v>898889</v>
      </c>
      <c r="AL44" s="40">
        <f>AL35+AL36</f>
        <v>665318</v>
      </c>
      <c r="AM44" s="40">
        <f>AM35+AM36</f>
        <v>568414</v>
      </c>
    </row>
    <row r="45" spans="1:39" ht="13" customHeight="1">
      <c r="A45" s="80" t="s">
        <v>564</v>
      </c>
      <c r="B45" s="80" t="s">
        <v>572</v>
      </c>
      <c r="C45" s="93">
        <v>103816</v>
      </c>
      <c r="D45" s="93">
        <v>31069</v>
      </c>
      <c r="E45" s="93">
        <v>122700</v>
      </c>
      <c r="F45" s="93">
        <v>45852</v>
      </c>
      <c r="G45" s="93">
        <v>87618</v>
      </c>
      <c r="H45" s="93">
        <v>55775</v>
      </c>
      <c r="I45" s="93">
        <v>76361</v>
      </c>
      <c r="J45" s="93">
        <v>268621</v>
      </c>
      <c r="K45" s="93">
        <v>89531</v>
      </c>
      <c r="L45" s="93">
        <v>112752</v>
      </c>
      <c r="M45" s="93">
        <v>213028</v>
      </c>
      <c r="N45" s="93">
        <v>142058</v>
      </c>
      <c r="O45" s="93">
        <v>222390</v>
      </c>
      <c r="P45" s="93">
        <v>173827</v>
      </c>
      <c r="Q45" s="93">
        <v>159706</v>
      </c>
      <c r="R45" s="93">
        <v>184245</v>
      </c>
      <c r="S45" s="93">
        <v>54990</v>
      </c>
      <c r="T45" s="93">
        <v>49324</v>
      </c>
      <c r="U45" s="93">
        <v>152897</v>
      </c>
      <c r="V45" s="132">
        <v>16116</v>
      </c>
      <c r="W45" s="93">
        <v>62447</v>
      </c>
      <c r="X45" s="93">
        <v>-432288</v>
      </c>
      <c r="Y45" s="132">
        <v>98325</v>
      </c>
      <c r="Z45" s="132">
        <v>98984</v>
      </c>
      <c r="AA45" s="93">
        <v>-13880</v>
      </c>
      <c r="AB45" s="93">
        <v>36338</v>
      </c>
      <c r="AC45" s="93">
        <v>18517</v>
      </c>
      <c r="AD45" s="93">
        <v>-681462</v>
      </c>
      <c r="AE45" s="93">
        <v>-339527</v>
      </c>
      <c r="AF45" s="93">
        <v>-258658</v>
      </c>
      <c r="AG45" s="93">
        <v>124714</v>
      </c>
      <c r="AH45" s="93">
        <v>724134</v>
      </c>
      <c r="AI45" s="93">
        <f>AI44</f>
        <v>739011</v>
      </c>
      <c r="AJ45" s="93">
        <v>776870</v>
      </c>
      <c r="AK45" s="93">
        <f>AK44</f>
        <v>898889</v>
      </c>
      <c r="AL45" s="93">
        <f>AL44</f>
        <v>665318</v>
      </c>
      <c r="AM45" s="93">
        <f>AM44</f>
        <v>568414</v>
      </c>
    </row>
    <row r="46" spans="1:39">
      <c r="N46" s="2"/>
      <c r="Q46" s="2"/>
    </row>
    <row r="47" spans="1:39">
      <c r="N47" s="2"/>
      <c r="Q47" s="2"/>
    </row>
    <row r="48" spans="1:39">
      <c r="F48" s="19"/>
      <c r="J48" s="19"/>
    </row>
    <row r="49" spans="6:10">
      <c r="F49" s="19"/>
      <c r="J49" s="19"/>
    </row>
    <row r="50" spans="6:10">
      <c r="F50" s="19"/>
      <c r="J50" s="19"/>
    </row>
    <row r="51" spans="6:10">
      <c r="F51" s="19"/>
      <c r="J51" s="19"/>
    </row>
    <row r="52" spans="6:10">
      <c r="F52" s="19"/>
      <c r="J52" s="19"/>
    </row>
    <row r="53" spans="6:10">
      <c r="F53" s="19"/>
      <c r="J53" s="19"/>
    </row>
    <row r="54" spans="6:10">
      <c r="F54" s="19"/>
      <c r="J54" s="19"/>
    </row>
    <row r="55" spans="6:10">
      <c r="F55" s="19"/>
      <c r="J55" s="19"/>
    </row>
    <row r="56" spans="6:10">
      <c r="F56" s="19"/>
      <c r="J56" s="19"/>
    </row>
    <row r="57" spans="6:10">
      <c r="F57" s="19"/>
      <c r="J57" s="19"/>
    </row>
    <row r="58" spans="6:10">
      <c r="F58" s="19"/>
      <c r="J58" s="19"/>
    </row>
    <row r="59" spans="6:10">
      <c r="F59" s="19"/>
      <c r="J59" s="1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M119"/>
  <sheetViews>
    <sheetView topLeftCell="A19" zoomScaleNormal="100" workbookViewId="0">
      <pane xSplit="2" topLeftCell="AI1" activePane="topRight" state="frozen"/>
      <selection sqref="A1:B1048576"/>
      <selection pane="topRight" activeCell="AL3" sqref="AH3:AL3"/>
    </sheetView>
  </sheetViews>
  <sheetFormatPr defaultColWidth="8.6640625" defaultRowHeight="11.5"/>
  <cols>
    <col min="1" max="2" width="50.6640625" style="2" customWidth="1"/>
    <col min="3" max="6" width="10.6640625" style="2" customWidth="1"/>
    <col min="7" max="7" width="10.6640625" style="9" customWidth="1"/>
    <col min="8" max="9" width="10.6640625" style="2" customWidth="1"/>
    <col min="10" max="10" width="10.6640625" style="9" customWidth="1"/>
    <col min="11" max="39" width="10.6640625" style="2" customWidth="1"/>
    <col min="40" max="16384" width="8.66406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</row>
    <row r="2" spans="1:39" ht="13" customHeight="1" thickBot="1">
      <c r="A2" s="1"/>
      <c r="B2" s="1"/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</row>
    <row r="3" spans="1:39" ht="23.5" thickBot="1">
      <c r="A3" s="27" t="s">
        <v>195</v>
      </c>
      <c r="B3" s="27" t="s">
        <v>697</v>
      </c>
      <c r="C3" s="28">
        <f t="shared" ref="C3:N3" si="0">SUM(C4:C18)</f>
        <v>556125</v>
      </c>
      <c r="D3" s="28">
        <f t="shared" si="0"/>
        <v>596336</v>
      </c>
      <c r="E3" s="28">
        <f t="shared" si="0"/>
        <v>614421</v>
      </c>
      <c r="F3" s="28">
        <f t="shared" si="0"/>
        <v>632338</v>
      </c>
      <c r="G3" s="28">
        <f t="shared" si="0"/>
        <v>578002</v>
      </c>
      <c r="H3" s="28">
        <f t="shared" si="0"/>
        <v>614131</v>
      </c>
      <c r="I3" s="28">
        <f t="shared" si="0"/>
        <v>655890</v>
      </c>
      <c r="J3" s="28">
        <f t="shared" si="0"/>
        <v>795858</v>
      </c>
      <c r="K3" s="28">
        <f t="shared" si="0"/>
        <v>867326</v>
      </c>
      <c r="L3" s="28">
        <f t="shared" si="0"/>
        <v>892704</v>
      </c>
      <c r="M3" s="28">
        <f t="shared" si="0"/>
        <v>903610</v>
      </c>
      <c r="N3" s="28">
        <f t="shared" si="0"/>
        <v>937491</v>
      </c>
      <c r="O3" s="28">
        <f>SUM(O4:O17)+O23+O24</f>
        <v>916104</v>
      </c>
      <c r="P3" s="28">
        <f>SUM(P4:P17)+P23+P24</f>
        <v>942787</v>
      </c>
      <c r="Q3" s="28">
        <f>SUM(Q4:Q17)+Q23+Q24</f>
        <v>961196</v>
      </c>
      <c r="R3" s="28">
        <f>SUM(R4:R17)+R23+R24</f>
        <v>985370</v>
      </c>
      <c r="S3" s="28">
        <f>SUM(S4:S17)</f>
        <v>986612</v>
      </c>
      <c r="T3" s="28">
        <f>SUM(T4:T17)-T7</f>
        <v>1010905</v>
      </c>
      <c r="U3" s="28">
        <f t="shared" ref="U3:Z3" si="1">U4+U5+U9+U10+U11+U12+U14+U15+U16+U17</f>
        <v>985175</v>
      </c>
      <c r="V3" s="28">
        <f t="shared" si="1"/>
        <v>925973</v>
      </c>
      <c r="W3" s="28">
        <f t="shared" si="1"/>
        <v>937951</v>
      </c>
      <c r="X3" s="28">
        <f t="shared" si="1"/>
        <v>821385</v>
      </c>
      <c r="Y3" s="28">
        <f t="shared" si="1"/>
        <v>726585</v>
      </c>
      <c r="Z3" s="28">
        <f t="shared" si="1"/>
        <v>675492</v>
      </c>
      <c r="AA3" s="28">
        <f t="shared" ref="AA3:AF3" si="2">AA4+AA5+AA9+AA10+AA11+AA12+AA14+AA15+AA16+AA17</f>
        <v>682536</v>
      </c>
      <c r="AB3" s="28">
        <f t="shared" si="2"/>
        <v>669132</v>
      </c>
      <c r="AC3" s="28">
        <f t="shared" si="2"/>
        <v>697571</v>
      </c>
      <c r="AD3" s="28">
        <f t="shared" si="2"/>
        <v>788065</v>
      </c>
      <c r="AE3" s="28">
        <f t="shared" si="2"/>
        <v>1023103</v>
      </c>
      <c r="AF3" s="28">
        <f t="shared" si="2"/>
        <v>1339506</v>
      </c>
      <c r="AG3" s="28">
        <f t="shared" ref="AG3" si="3">AG4+AG5+AG9+AG10+AG11+AG12+AG14+AG15+AG16+AG17</f>
        <v>1155451</v>
      </c>
      <c r="AH3" s="28">
        <f t="shared" ref="AH3:AK3" si="4">AH4+AH5+AH9+AH10+AH11+AH12+AH14+AH15+AH17</f>
        <v>1673296</v>
      </c>
      <c r="AI3" s="28">
        <f t="shared" si="4"/>
        <v>1661479</v>
      </c>
      <c r="AJ3" s="28">
        <f t="shared" si="4"/>
        <v>1689055</v>
      </c>
      <c r="AK3" s="28">
        <f t="shared" si="4"/>
        <v>1737009</v>
      </c>
      <c r="AL3" s="28">
        <f>AL4+AL5+AL9+AL10+AL11+AL12+AL14+AL15+AL17</f>
        <v>1726647</v>
      </c>
      <c r="AM3" s="28">
        <f>AM4+AM5+AM9+AM10+AM11+AM12+AM14+AM15+AM17</f>
        <v>1681564</v>
      </c>
    </row>
    <row r="4" spans="1:39" ht="13" customHeight="1">
      <c r="A4" s="5" t="s">
        <v>219</v>
      </c>
      <c r="B4" s="5" t="s">
        <v>61</v>
      </c>
      <c r="C4" s="52">
        <v>101</v>
      </c>
      <c r="D4" s="52">
        <v>-101</v>
      </c>
      <c r="E4" s="52">
        <v>0</v>
      </c>
      <c r="F4" s="52">
        <v>241</v>
      </c>
      <c r="G4" s="52">
        <v>347</v>
      </c>
      <c r="H4" s="52">
        <v>481</v>
      </c>
      <c r="I4" s="52">
        <v>478</v>
      </c>
      <c r="J4" s="52">
        <v>215</v>
      </c>
      <c r="K4" s="52">
        <v>277</v>
      </c>
      <c r="L4" s="52">
        <v>272</v>
      </c>
      <c r="M4" s="52">
        <v>274</v>
      </c>
      <c r="N4" s="52">
        <v>241</v>
      </c>
      <c r="O4" s="52">
        <v>151</v>
      </c>
      <c r="P4" s="52">
        <v>140</v>
      </c>
      <c r="Q4" s="52">
        <v>163</v>
      </c>
      <c r="R4" s="52">
        <v>200</v>
      </c>
      <c r="S4" s="52">
        <v>105</v>
      </c>
      <c r="T4" s="52">
        <v>189</v>
      </c>
      <c r="U4" s="52">
        <v>90</v>
      </c>
      <c r="V4" s="52">
        <v>387</v>
      </c>
      <c r="W4" s="52">
        <v>78</v>
      </c>
      <c r="X4" s="52">
        <v>235</v>
      </c>
      <c r="Y4" s="52">
        <v>45</v>
      </c>
      <c r="Z4" s="52">
        <v>3</v>
      </c>
      <c r="AA4" s="52">
        <v>16</v>
      </c>
      <c r="AB4" s="52">
        <v>4</v>
      </c>
      <c r="AC4" s="52">
        <v>54</v>
      </c>
      <c r="AD4" s="52">
        <v>99</v>
      </c>
      <c r="AE4" s="52">
        <v>62</v>
      </c>
      <c r="AF4" s="52">
        <v>356</v>
      </c>
      <c r="AG4" s="52">
        <v>1786</v>
      </c>
      <c r="AH4" s="52">
        <v>1769</v>
      </c>
      <c r="AI4" s="52">
        <v>1895</v>
      </c>
      <c r="AJ4" s="52">
        <v>5376</v>
      </c>
      <c r="AK4" s="52">
        <v>4263</v>
      </c>
      <c r="AL4" s="52">
        <v>1534</v>
      </c>
      <c r="AM4" s="52">
        <v>4388</v>
      </c>
    </row>
    <row r="5" spans="1:39" ht="13" customHeight="1">
      <c r="A5" s="5" t="s">
        <v>220</v>
      </c>
      <c r="B5" s="5" t="s">
        <v>320</v>
      </c>
      <c r="C5" s="52">
        <v>424926</v>
      </c>
      <c r="D5" s="52">
        <v>454141</v>
      </c>
      <c r="E5" s="52">
        <v>474148</v>
      </c>
      <c r="F5" s="52">
        <v>494257</v>
      </c>
      <c r="G5" s="52">
        <v>509437</v>
      </c>
      <c r="H5" s="52">
        <v>539362</v>
      </c>
      <c r="I5" s="52">
        <v>580121</v>
      </c>
      <c r="J5" s="52">
        <v>695483</v>
      </c>
      <c r="K5" s="52">
        <v>742880</v>
      </c>
      <c r="L5" s="52">
        <v>800333</v>
      </c>
      <c r="M5" s="52">
        <v>810003</v>
      </c>
      <c r="N5" s="52">
        <v>823090</v>
      </c>
      <c r="O5" s="52">
        <v>810757</v>
      </c>
      <c r="P5" s="52">
        <v>850839</v>
      </c>
      <c r="Q5" s="52">
        <v>856293</v>
      </c>
      <c r="R5" s="52">
        <v>874567</v>
      </c>
      <c r="S5" s="52">
        <v>864254</v>
      </c>
      <c r="T5" s="52">
        <v>892781</v>
      </c>
      <c r="U5" s="52">
        <v>861592</v>
      </c>
      <c r="V5" s="52">
        <f>788098+679</f>
        <v>788777</v>
      </c>
      <c r="W5" s="52">
        <v>809522</v>
      </c>
      <c r="X5" s="52">
        <v>704698</v>
      </c>
      <c r="Y5" s="52">
        <v>634812</v>
      </c>
      <c r="Z5" s="52">
        <v>599211</v>
      </c>
      <c r="AA5" s="52">
        <v>608110</v>
      </c>
      <c r="AB5" s="52">
        <v>594701</v>
      </c>
      <c r="AC5" s="52">
        <v>627120</v>
      </c>
      <c r="AD5" s="52">
        <v>694092</v>
      </c>
      <c r="AE5" s="52">
        <v>859778</v>
      </c>
      <c r="AF5" s="52">
        <v>1082449</v>
      </c>
      <c r="AG5" s="52">
        <v>749222</v>
      </c>
      <c r="AH5" s="52">
        <v>1342492</v>
      </c>
      <c r="AI5" s="52">
        <v>1288626</v>
      </c>
      <c r="AJ5" s="52">
        <v>1320428</v>
      </c>
      <c r="AK5" s="52">
        <v>1348046</v>
      </c>
      <c r="AL5" s="52">
        <v>1332619</v>
      </c>
      <c r="AM5" s="52">
        <v>1267477</v>
      </c>
    </row>
    <row r="6" spans="1:39" s="47" customFormat="1" ht="26.5" customHeight="1">
      <c r="A6" s="5" t="s">
        <v>221</v>
      </c>
      <c r="B6" s="5" t="s">
        <v>150</v>
      </c>
      <c r="C6" s="53" t="s">
        <v>97</v>
      </c>
      <c r="D6" s="53" t="s">
        <v>97</v>
      </c>
      <c r="E6" s="53" t="s">
        <v>97</v>
      </c>
      <c r="F6" s="53" t="s">
        <v>97</v>
      </c>
      <c r="G6" s="53" t="s">
        <v>97</v>
      </c>
      <c r="H6" s="53" t="s">
        <v>97</v>
      </c>
      <c r="I6" s="53" t="s">
        <v>97</v>
      </c>
      <c r="J6" s="53" t="s">
        <v>97</v>
      </c>
      <c r="K6" s="53" t="s">
        <v>97</v>
      </c>
      <c r="L6" s="53" t="s">
        <v>97</v>
      </c>
      <c r="M6" s="53" t="s">
        <v>97</v>
      </c>
      <c r="N6" s="53" t="s">
        <v>97</v>
      </c>
      <c r="O6" s="53" t="s">
        <v>97</v>
      </c>
      <c r="P6" s="53" t="s">
        <v>97</v>
      </c>
      <c r="Q6" s="53" t="s">
        <v>97</v>
      </c>
      <c r="R6" s="53" t="s">
        <v>97</v>
      </c>
      <c r="S6" s="53" t="s">
        <v>97</v>
      </c>
      <c r="T6" s="53" t="s">
        <v>97</v>
      </c>
      <c r="U6" s="53">
        <v>-45199</v>
      </c>
      <c r="V6" s="53">
        <v>-89844</v>
      </c>
      <c r="W6" s="53">
        <v>-63574</v>
      </c>
      <c r="X6" s="54">
        <v>-30032</v>
      </c>
      <c r="Y6" s="54">
        <v>-40249</v>
      </c>
      <c r="Z6" s="52">
        <v>-76471</v>
      </c>
      <c r="AA6" s="52">
        <v>-61278</v>
      </c>
      <c r="AB6" s="52">
        <v>-70088</v>
      </c>
      <c r="AC6" s="52">
        <v>-50709</v>
      </c>
      <c r="AD6" s="52">
        <v>-56810</v>
      </c>
      <c r="AE6" s="52">
        <v>-52614</v>
      </c>
      <c r="AF6" s="52">
        <v>-68197</v>
      </c>
      <c r="AG6" s="52">
        <v>-71109</v>
      </c>
      <c r="AH6" s="55" t="s">
        <v>97</v>
      </c>
      <c r="AI6" s="55" t="s">
        <v>97</v>
      </c>
      <c r="AJ6" s="55" t="s">
        <v>97</v>
      </c>
      <c r="AK6" s="55" t="s">
        <v>97</v>
      </c>
      <c r="AL6" s="55" t="s">
        <v>97</v>
      </c>
      <c r="AM6" s="55" t="s">
        <v>97</v>
      </c>
    </row>
    <row r="7" spans="1:39" s="47" customFormat="1" ht="13" customHeight="1">
      <c r="A7" s="5" t="s">
        <v>326</v>
      </c>
      <c r="B7" s="5" t="s">
        <v>507</v>
      </c>
      <c r="C7" s="53" t="s">
        <v>97</v>
      </c>
      <c r="D7" s="53" t="s">
        <v>97</v>
      </c>
      <c r="E7" s="53" t="s">
        <v>97</v>
      </c>
      <c r="F7" s="53" t="s">
        <v>97</v>
      </c>
      <c r="G7" s="53" t="s">
        <v>97</v>
      </c>
      <c r="H7" s="53" t="s">
        <v>97</v>
      </c>
      <c r="I7" s="53" t="s">
        <v>97</v>
      </c>
      <c r="J7" s="53" t="s">
        <v>97</v>
      </c>
      <c r="K7" s="53" t="s">
        <v>97</v>
      </c>
      <c r="L7" s="53" t="s">
        <v>97</v>
      </c>
      <c r="M7" s="53" t="s">
        <v>97</v>
      </c>
      <c r="N7" s="53" t="s">
        <v>97</v>
      </c>
      <c r="O7" s="53" t="s">
        <v>97</v>
      </c>
      <c r="P7" s="53" t="s">
        <v>97</v>
      </c>
      <c r="Q7" s="53" t="s">
        <v>97</v>
      </c>
      <c r="R7" s="53" t="s">
        <v>97</v>
      </c>
      <c r="S7" s="53" t="s">
        <v>97</v>
      </c>
      <c r="T7" s="53">
        <v>70</v>
      </c>
      <c r="U7" s="53">
        <v>328</v>
      </c>
      <c r="V7" s="53">
        <f>52-3324</f>
        <v>-3272</v>
      </c>
      <c r="W7" s="53">
        <v>45</v>
      </c>
      <c r="X7" s="54">
        <v>-13203</v>
      </c>
      <c r="Y7" s="54">
        <v>-4345</v>
      </c>
      <c r="Z7" s="52">
        <v>-1914</v>
      </c>
      <c r="AA7" s="52">
        <v>-2143</v>
      </c>
      <c r="AB7" s="52">
        <v>-1689</v>
      </c>
      <c r="AC7" s="52">
        <v>-1039</v>
      </c>
      <c r="AD7" s="52">
        <v>-1635</v>
      </c>
      <c r="AE7" s="52">
        <v>-825</v>
      </c>
      <c r="AF7" s="52">
        <v>-1702</v>
      </c>
      <c r="AG7" s="52">
        <v>-505872</v>
      </c>
      <c r="AH7" s="52">
        <v>-2909</v>
      </c>
      <c r="AI7" s="52">
        <v>-13480</v>
      </c>
      <c r="AJ7" s="52">
        <v>-2116</v>
      </c>
      <c r="AK7" s="52">
        <v>-2206</v>
      </c>
      <c r="AL7" s="52">
        <v>-1856</v>
      </c>
      <c r="AM7" s="52">
        <v>-1759</v>
      </c>
    </row>
    <row r="8" spans="1:39" ht="13" customHeight="1">
      <c r="A8" s="5" t="s">
        <v>230</v>
      </c>
      <c r="B8" s="5" t="s">
        <v>74</v>
      </c>
      <c r="C8" s="52">
        <v>22190</v>
      </c>
      <c r="D8" s="52">
        <v>22164</v>
      </c>
      <c r="E8" s="52">
        <v>23763</v>
      </c>
      <c r="F8" s="52">
        <v>23276</v>
      </c>
      <c r="G8" s="52">
        <v>27358</v>
      </c>
      <c r="H8" s="52">
        <v>30926</v>
      </c>
      <c r="I8" s="52">
        <v>34081</v>
      </c>
      <c r="J8" s="52">
        <v>35909</v>
      </c>
      <c r="K8" s="52">
        <v>38711</v>
      </c>
      <c r="L8" s="52">
        <v>33083</v>
      </c>
      <c r="M8" s="52">
        <v>41290</v>
      </c>
      <c r="N8" s="52">
        <v>52478</v>
      </c>
      <c r="O8" s="55" t="s">
        <v>97</v>
      </c>
      <c r="P8" s="55" t="s">
        <v>97</v>
      </c>
      <c r="Q8" s="55" t="s">
        <v>97</v>
      </c>
      <c r="R8" s="55" t="s">
        <v>97</v>
      </c>
      <c r="S8" s="55" t="s">
        <v>97</v>
      </c>
      <c r="T8" s="55" t="s">
        <v>97</v>
      </c>
      <c r="U8" s="55" t="s">
        <v>97</v>
      </c>
      <c r="V8" s="55" t="s">
        <v>97</v>
      </c>
      <c r="W8" s="55" t="s">
        <v>97</v>
      </c>
      <c r="X8" s="55" t="s">
        <v>97</v>
      </c>
      <c r="Y8" s="55" t="s">
        <v>97</v>
      </c>
      <c r="Z8" s="55" t="s">
        <v>97</v>
      </c>
      <c r="AA8" s="55" t="s">
        <v>97</v>
      </c>
      <c r="AB8" s="55" t="s">
        <v>97</v>
      </c>
      <c r="AC8" s="55" t="s">
        <v>97</v>
      </c>
      <c r="AD8" s="55" t="s">
        <v>97</v>
      </c>
      <c r="AE8" s="55" t="s">
        <v>97</v>
      </c>
      <c r="AF8" s="55" t="s">
        <v>97</v>
      </c>
      <c r="AG8" s="55" t="s">
        <v>97</v>
      </c>
      <c r="AH8" s="55" t="s">
        <v>97</v>
      </c>
      <c r="AI8" s="55" t="s">
        <v>97</v>
      </c>
      <c r="AJ8" s="55" t="s">
        <v>97</v>
      </c>
      <c r="AK8" s="55" t="s">
        <v>97</v>
      </c>
      <c r="AL8" s="55" t="s">
        <v>97</v>
      </c>
      <c r="AM8" s="55" t="s">
        <v>97</v>
      </c>
    </row>
    <row r="9" spans="1:39" ht="13" customHeight="1">
      <c r="A9" s="5" t="s">
        <v>222</v>
      </c>
      <c r="B9" s="5" t="s">
        <v>62</v>
      </c>
      <c r="C9" s="55" t="s">
        <v>97</v>
      </c>
      <c r="D9" s="55" t="s">
        <v>97</v>
      </c>
      <c r="E9" s="55" t="s">
        <v>97</v>
      </c>
      <c r="F9" s="55" t="s">
        <v>97</v>
      </c>
      <c r="G9" s="55" t="s">
        <v>97</v>
      </c>
      <c r="H9" s="55" t="s">
        <v>97</v>
      </c>
      <c r="I9" s="55" t="s">
        <v>97</v>
      </c>
      <c r="J9" s="55" t="s">
        <v>97</v>
      </c>
      <c r="K9" s="55" t="s">
        <v>97</v>
      </c>
      <c r="L9" s="55" t="s">
        <v>97</v>
      </c>
      <c r="M9" s="55" t="s">
        <v>97</v>
      </c>
      <c r="N9" s="55" t="s">
        <v>97</v>
      </c>
      <c r="O9" s="52">
        <v>22974</v>
      </c>
      <c r="P9" s="52">
        <v>23611</v>
      </c>
      <c r="Q9" s="52">
        <v>25016</v>
      </c>
      <c r="R9" s="52">
        <v>30438</v>
      </c>
      <c r="S9" s="52">
        <v>32225</v>
      </c>
      <c r="T9" s="52">
        <v>30280</v>
      </c>
      <c r="U9" s="52">
        <v>28995</v>
      </c>
      <c r="V9" s="52">
        <v>27684</v>
      </c>
      <c r="W9" s="52">
        <v>27168</v>
      </c>
      <c r="X9" s="52">
        <v>23424</v>
      </c>
      <c r="Y9" s="52">
        <v>18706</v>
      </c>
      <c r="Z9" s="52">
        <v>17277</v>
      </c>
      <c r="AA9" s="52">
        <v>16319</v>
      </c>
      <c r="AB9" s="52">
        <v>13563</v>
      </c>
      <c r="AC9" s="52">
        <v>12552</v>
      </c>
      <c r="AD9" s="52">
        <v>10590</v>
      </c>
      <c r="AE9" s="52">
        <v>16957</v>
      </c>
      <c r="AF9" s="52">
        <v>24894</v>
      </c>
      <c r="AG9" s="52">
        <v>41834</v>
      </c>
      <c r="AH9" s="52">
        <v>49627</v>
      </c>
      <c r="AI9" s="52">
        <v>53390</v>
      </c>
      <c r="AJ9" s="52">
        <v>47129</v>
      </c>
      <c r="AK9" s="52">
        <v>45151</v>
      </c>
      <c r="AL9" s="52">
        <v>28646</v>
      </c>
      <c r="AM9" s="52">
        <v>26125</v>
      </c>
    </row>
    <row r="10" spans="1:39" ht="23">
      <c r="A10" s="5" t="s">
        <v>223</v>
      </c>
      <c r="B10" s="5" t="s">
        <v>63</v>
      </c>
      <c r="C10" s="55" t="s">
        <v>97</v>
      </c>
      <c r="D10" s="55" t="s">
        <v>97</v>
      </c>
      <c r="E10" s="55" t="s">
        <v>97</v>
      </c>
      <c r="F10" s="55" t="s">
        <v>97</v>
      </c>
      <c r="G10" s="55" t="s">
        <v>97</v>
      </c>
      <c r="H10" s="55" t="s">
        <v>97</v>
      </c>
      <c r="I10" s="55" t="s">
        <v>97</v>
      </c>
      <c r="J10" s="55" t="s">
        <v>97</v>
      </c>
      <c r="K10" s="55" t="s">
        <v>97</v>
      </c>
      <c r="L10" s="55" t="s">
        <v>97</v>
      </c>
      <c r="M10" s="55" t="s">
        <v>97</v>
      </c>
      <c r="N10" s="55" t="s">
        <v>97</v>
      </c>
      <c r="O10" s="52">
        <v>44757</v>
      </c>
      <c r="P10" s="52">
        <v>41377</v>
      </c>
      <c r="Q10" s="52">
        <v>39835</v>
      </c>
      <c r="R10" s="52">
        <v>36032</v>
      </c>
      <c r="S10" s="52">
        <v>33665</v>
      </c>
      <c r="T10" s="52">
        <v>35459</v>
      </c>
      <c r="U10" s="52">
        <v>36326</v>
      </c>
      <c r="V10" s="52">
        <v>40233</v>
      </c>
      <c r="W10" s="52">
        <v>43401</v>
      </c>
      <c r="X10" s="52">
        <v>37395</v>
      </c>
      <c r="Y10" s="52">
        <v>16561</v>
      </c>
      <c r="Z10" s="52">
        <v>8393</v>
      </c>
      <c r="AA10" s="52">
        <v>3906</v>
      </c>
      <c r="AB10" s="52">
        <v>6371</v>
      </c>
      <c r="AC10" s="52">
        <v>3367</v>
      </c>
      <c r="AD10" s="52">
        <v>21139</v>
      </c>
      <c r="AE10" s="52">
        <v>56139</v>
      </c>
      <c r="AF10" s="52">
        <v>78960</v>
      </c>
      <c r="AG10" s="52">
        <v>158557</v>
      </c>
      <c r="AH10" s="52">
        <v>162973</v>
      </c>
      <c r="AI10" s="52">
        <v>210164</v>
      </c>
      <c r="AJ10" s="52">
        <v>197655</v>
      </c>
      <c r="AK10" s="52">
        <v>221869</v>
      </c>
      <c r="AL10" s="52">
        <v>230033</v>
      </c>
      <c r="AM10" s="52">
        <v>281734</v>
      </c>
    </row>
    <row r="11" spans="1:39" ht="13" customHeight="1">
      <c r="A11" s="5" t="s">
        <v>224</v>
      </c>
      <c r="B11" s="5" t="s">
        <v>64</v>
      </c>
      <c r="C11" s="52">
        <v>7029</v>
      </c>
      <c r="D11" s="52">
        <v>6835</v>
      </c>
      <c r="E11" s="52">
        <v>6956</v>
      </c>
      <c r="F11" s="52">
        <v>6561</v>
      </c>
      <c r="G11" s="52">
        <v>6009</v>
      </c>
      <c r="H11" s="52">
        <v>5880</v>
      </c>
      <c r="I11" s="52">
        <v>2956</v>
      </c>
      <c r="J11" s="52">
        <v>-3281</v>
      </c>
      <c r="K11" s="52">
        <v>4896</v>
      </c>
      <c r="L11" s="52">
        <v>8718</v>
      </c>
      <c r="M11" s="52">
        <v>8275</v>
      </c>
      <c r="N11" s="52">
        <v>11821</v>
      </c>
      <c r="O11" s="52">
        <v>14660</v>
      </c>
      <c r="P11" s="52">
        <v>-1527</v>
      </c>
      <c r="Q11" s="52">
        <v>6288</v>
      </c>
      <c r="R11" s="52">
        <v>6275</v>
      </c>
      <c r="S11" s="52">
        <v>12906</v>
      </c>
      <c r="T11" s="52">
        <v>4023</v>
      </c>
      <c r="U11" s="52">
        <v>4288</v>
      </c>
      <c r="V11" s="52">
        <v>12876</v>
      </c>
      <c r="W11" s="52">
        <v>3952</v>
      </c>
      <c r="X11" s="52">
        <v>3099</v>
      </c>
      <c r="Y11" s="52">
        <v>5221</v>
      </c>
      <c r="Z11" s="52">
        <v>152</v>
      </c>
      <c r="AA11" s="52">
        <v>5263</v>
      </c>
      <c r="AB11" s="52">
        <v>3631</v>
      </c>
      <c r="AC11" s="52">
        <v>2764</v>
      </c>
      <c r="AD11" s="52">
        <v>4095</v>
      </c>
      <c r="AE11" s="52">
        <v>3593</v>
      </c>
      <c r="AF11" s="52">
        <v>5217</v>
      </c>
      <c r="AG11" s="52">
        <v>7187</v>
      </c>
      <c r="AH11" s="52">
        <v>8212</v>
      </c>
      <c r="AI11" s="52">
        <v>7082</v>
      </c>
      <c r="AJ11" s="52">
        <v>7914</v>
      </c>
      <c r="AK11" s="52">
        <v>8166</v>
      </c>
      <c r="AL11" s="52">
        <v>8106</v>
      </c>
      <c r="AM11" s="52">
        <v>7475</v>
      </c>
    </row>
    <row r="12" spans="1:39">
      <c r="A12" s="5" t="s">
        <v>225</v>
      </c>
      <c r="B12" s="5" t="s">
        <v>65</v>
      </c>
      <c r="C12" s="56" t="s">
        <v>97</v>
      </c>
      <c r="D12" s="56" t="s">
        <v>97</v>
      </c>
      <c r="E12" s="56" t="s">
        <v>97</v>
      </c>
      <c r="F12" s="56" t="s">
        <v>97</v>
      </c>
      <c r="G12" s="56" t="s">
        <v>97</v>
      </c>
      <c r="H12" s="56" t="s">
        <v>97</v>
      </c>
      <c r="I12" s="56" t="s">
        <v>97</v>
      </c>
      <c r="J12" s="52">
        <v>4554</v>
      </c>
      <c r="K12" s="52">
        <v>2835</v>
      </c>
      <c r="L12" s="52">
        <v>2049</v>
      </c>
      <c r="M12" s="52">
        <v>1531</v>
      </c>
      <c r="N12" s="52">
        <v>1408</v>
      </c>
      <c r="O12" s="52">
        <v>1125</v>
      </c>
      <c r="P12" s="52">
        <v>1623</v>
      </c>
      <c r="Q12" s="52">
        <v>1301</v>
      </c>
      <c r="R12" s="52">
        <v>728</v>
      </c>
      <c r="S12" s="52">
        <v>514</v>
      </c>
      <c r="T12" s="52">
        <v>1028</v>
      </c>
      <c r="U12" s="52">
        <v>3230</v>
      </c>
      <c r="V12" s="52">
        <v>1471</v>
      </c>
      <c r="W12" s="52">
        <v>877</v>
      </c>
      <c r="X12" s="52">
        <v>385</v>
      </c>
      <c r="Y12" s="52">
        <v>27</v>
      </c>
      <c r="Z12" s="52">
        <v>15</v>
      </c>
      <c r="AA12" s="52">
        <v>32</v>
      </c>
      <c r="AB12" s="52">
        <v>44</v>
      </c>
      <c r="AC12" s="52">
        <v>22</v>
      </c>
      <c r="AD12" s="52">
        <v>649</v>
      </c>
      <c r="AE12" s="52">
        <v>2656</v>
      </c>
      <c r="AF12" s="52">
        <v>6616</v>
      </c>
      <c r="AG12" s="52">
        <v>11965</v>
      </c>
      <c r="AH12" s="52">
        <v>11477</v>
      </c>
      <c r="AI12" s="52">
        <v>10491</v>
      </c>
      <c r="AJ12" s="52">
        <v>21289</v>
      </c>
      <c r="AK12" s="52">
        <v>24213</v>
      </c>
      <c r="AL12" s="52">
        <v>44399</v>
      </c>
      <c r="AM12" s="52">
        <v>20875</v>
      </c>
    </row>
    <row r="13" spans="1:39" ht="23">
      <c r="A13" s="5" t="s">
        <v>190</v>
      </c>
      <c r="B13" s="5" t="s">
        <v>75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2">
        <v>768</v>
      </c>
      <c r="K13" s="52">
        <v>0</v>
      </c>
      <c r="L13" s="52">
        <v>0</v>
      </c>
      <c r="M13" s="52">
        <v>0</v>
      </c>
      <c r="N13" s="52">
        <v>9281</v>
      </c>
      <c r="O13" s="55" t="s">
        <v>97</v>
      </c>
      <c r="P13" s="55" t="s">
        <v>97</v>
      </c>
      <c r="Q13" s="55" t="s">
        <v>97</v>
      </c>
      <c r="R13" s="55" t="s">
        <v>97</v>
      </c>
      <c r="S13" s="55" t="s">
        <v>97</v>
      </c>
      <c r="T13" s="55" t="s">
        <v>97</v>
      </c>
      <c r="U13" s="55" t="s">
        <v>97</v>
      </c>
      <c r="V13" s="55" t="s">
        <v>97</v>
      </c>
      <c r="W13" s="55" t="s">
        <v>97</v>
      </c>
      <c r="X13" s="55" t="s">
        <v>97</v>
      </c>
      <c r="Y13" s="55" t="s">
        <v>97</v>
      </c>
      <c r="Z13" s="55" t="s">
        <v>97</v>
      </c>
      <c r="AA13" s="55" t="s">
        <v>97</v>
      </c>
      <c r="AB13" s="55" t="s">
        <v>97</v>
      </c>
      <c r="AC13" s="55" t="s">
        <v>97</v>
      </c>
      <c r="AD13" s="55" t="s">
        <v>97</v>
      </c>
      <c r="AE13" s="55" t="s">
        <v>97</v>
      </c>
      <c r="AF13" s="55" t="s">
        <v>97</v>
      </c>
      <c r="AG13" s="55" t="s">
        <v>97</v>
      </c>
      <c r="AH13" s="55" t="s">
        <v>97</v>
      </c>
      <c r="AI13" s="55" t="s">
        <v>97</v>
      </c>
      <c r="AJ13" s="55" t="s">
        <v>97</v>
      </c>
      <c r="AK13" s="55" t="s">
        <v>97</v>
      </c>
      <c r="AL13" s="55" t="s">
        <v>97</v>
      </c>
      <c r="AM13" s="55" t="s">
        <v>97</v>
      </c>
    </row>
    <row r="14" spans="1:39" ht="13" customHeight="1">
      <c r="A14" s="5" t="s">
        <v>227</v>
      </c>
      <c r="B14" s="5" t="s">
        <v>67</v>
      </c>
      <c r="C14" s="56"/>
      <c r="D14" s="56"/>
      <c r="E14" s="56"/>
      <c r="F14" s="56"/>
      <c r="G14" s="56"/>
      <c r="H14" s="56"/>
      <c r="I14" s="56"/>
      <c r="J14" s="52"/>
      <c r="K14" s="52"/>
      <c r="L14" s="52"/>
      <c r="M14" s="52"/>
      <c r="N14" s="52"/>
      <c r="O14" s="55"/>
      <c r="P14" s="55"/>
      <c r="Q14" s="55"/>
      <c r="R14" s="55" t="s">
        <v>97</v>
      </c>
      <c r="S14" s="55">
        <v>2753</v>
      </c>
      <c r="T14" s="55">
        <v>2919</v>
      </c>
      <c r="U14" s="55">
        <v>2936</v>
      </c>
      <c r="V14" s="55">
        <v>2888</v>
      </c>
      <c r="W14" s="55">
        <v>2772</v>
      </c>
      <c r="X14" s="52">
        <v>884</v>
      </c>
      <c r="Y14" s="52">
        <v>-7</v>
      </c>
      <c r="Z14" s="52">
        <v>77</v>
      </c>
      <c r="AA14" s="52">
        <v>-93</v>
      </c>
      <c r="AB14" s="52">
        <v>167</v>
      </c>
      <c r="AC14" s="52">
        <v>300</v>
      </c>
      <c r="AD14" s="52">
        <v>2273</v>
      </c>
      <c r="AE14" s="52">
        <v>9203</v>
      </c>
      <c r="AF14" s="52">
        <v>30422</v>
      </c>
      <c r="AG14" s="52">
        <v>40062</v>
      </c>
      <c r="AH14" s="52">
        <v>46139</v>
      </c>
      <c r="AI14" s="52">
        <v>48057</v>
      </c>
      <c r="AJ14" s="52">
        <v>50237</v>
      </c>
      <c r="AK14" s="52">
        <v>50413</v>
      </c>
      <c r="AL14" s="52">
        <v>45407</v>
      </c>
      <c r="AM14" s="52">
        <v>43630</v>
      </c>
    </row>
    <row r="15" spans="1:39" ht="13" customHeight="1">
      <c r="A15" s="5" t="s">
        <v>228</v>
      </c>
      <c r="B15" s="5" t="s">
        <v>68</v>
      </c>
      <c r="C15" s="56"/>
      <c r="D15" s="56"/>
      <c r="E15" s="56"/>
      <c r="F15" s="56"/>
      <c r="G15" s="56"/>
      <c r="H15" s="56"/>
      <c r="I15" s="56"/>
      <c r="J15" s="52"/>
      <c r="K15" s="52"/>
      <c r="L15" s="52"/>
      <c r="M15" s="52"/>
      <c r="N15" s="52"/>
      <c r="O15" s="55"/>
      <c r="P15" s="55"/>
      <c r="Q15" s="55"/>
      <c r="R15" s="55" t="s">
        <v>97</v>
      </c>
      <c r="S15" s="55">
        <v>241</v>
      </c>
      <c r="T15" s="55">
        <v>242</v>
      </c>
      <c r="U15" s="55">
        <v>266</v>
      </c>
      <c r="V15" s="55">
        <v>415</v>
      </c>
      <c r="W15" s="55">
        <v>207</v>
      </c>
      <c r="X15" s="52">
        <v>31</v>
      </c>
      <c r="Y15" s="52">
        <v>9</v>
      </c>
      <c r="Z15" s="52">
        <v>31</v>
      </c>
      <c r="AA15" s="52">
        <v>73</v>
      </c>
      <c r="AB15" s="52">
        <v>14</v>
      </c>
      <c r="AC15" s="52">
        <v>26</v>
      </c>
      <c r="AD15" s="52">
        <v>478</v>
      </c>
      <c r="AE15" s="52">
        <v>362</v>
      </c>
      <c r="AF15" s="52">
        <v>1288</v>
      </c>
      <c r="AG15" s="52">
        <v>1268</v>
      </c>
      <c r="AH15" s="52">
        <v>3524</v>
      </c>
      <c r="AI15" s="52">
        <v>2885</v>
      </c>
      <c r="AJ15" s="52">
        <v>2253</v>
      </c>
      <c r="AK15" s="52">
        <v>3664</v>
      </c>
      <c r="AL15" s="52">
        <v>6674</v>
      </c>
      <c r="AM15" s="52">
        <v>3434</v>
      </c>
    </row>
    <row r="16" spans="1:39" ht="13" customHeight="1">
      <c r="A16" s="5" t="s">
        <v>72</v>
      </c>
      <c r="B16" s="5" t="s">
        <v>72</v>
      </c>
      <c r="C16" s="56" t="s">
        <v>97</v>
      </c>
      <c r="D16" s="56" t="s">
        <v>97</v>
      </c>
      <c r="E16" s="56" t="s">
        <v>97</v>
      </c>
      <c r="F16" s="56" t="s">
        <v>97</v>
      </c>
      <c r="G16" s="56" t="s">
        <v>97</v>
      </c>
      <c r="H16" s="56" t="s">
        <v>97</v>
      </c>
      <c r="I16" s="56" t="s">
        <v>97</v>
      </c>
      <c r="J16" s="56" t="s">
        <v>97</v>
      </c>
      <c r="K16" s="52">
        <v>4514</v>
      </c>
      <c r="L16" s="52">
        <v>7295</v>
      </c>
      <c r="M16" s="52">
        <v>10215</v>
      </c>
      <c r="N16" s="52">
        <v>10889</v>
      </c>
      <c r="O16" s="52">
        <v>18026</v>
      </c>
      <c r="P16" s="52">
        <v>23137</v>
      </c>
      <c r="Q16" s="52">
        <v>28665</v>
      </c>
      <c r="R16" s="52">
        <v>33384</v>
      </c>
      <c r="S16" s="52">
        <f>39429-8488</f>
        <v>30941</v>
      </c>
      <c r="T16" s="52">
        <v>34305</v>
      </c>
      <c r="U16" s="52">
        <f>47222-10055</f>
        <v>37167</v>
      </c>
      <c r="V16" s="52">
        <f>39025+40</f>
        <v>39065</v>
      </c>
      <c r="W16" s="52">
        <v>39067</v>
      </c>
      <c r="X16" s="52">
        <v>40088</v>
      </c>
      <c r="Y16" s="52">
        <v>39730</v>
      </c>
      <c r="Z16" s="52">
        <v>38686</v>
      </c>
      <c r="AA16" s="52">
        <v>37605</v>
      </c>
      <c r="AB16" s="52">
        <v>38963</v>
      </c>
      <c r="AC16" s="52">
        <v>40074</v>
      </c>
      <c r="AD16" s="52">
        <v>41545</v>
      </c>
      <c r="AE16" s="52">
        <v>55958</v>
      </c>
      <c r="AF16" s="52">
        <v>74497</v>
      </c>
      <c r="AG16" s="52">
        <v>98276</v>
      </c>
      <c r="AH16" s="55" t="s">
        <v>97</v>
      </c>
      <c r="AI16" s="55" t="s">
        <v>97</v>
      </c>
      <c r="AJ16" s="55" t="s">
        <v>97</v>
      </c>
      <c r="AK16" s="55" t="s">
        <v>97</v>
      </c>
      <c r="AL16" s="55" t="s">
        <v>97</v>
      </c>
      <c r="AM16" s="55" t="s">
        <v>97</v>
      </c>
    </row>
    <row r="17" spans="1:39" ht="13" customHeight="1">
      <c r="A17" s="5" t="s">
        <v>282</v>
      </c>
      <c r="B17" s="5" t="s">
        <v>66</v>
      </c>
      <c r="C17" s="56">
        <v>500</v>
      </c>
      <c r="D17" s="56">
        <v>1138</v>
      </c>
      <c r="E17" s="56">
        <v>1308</v>
      </c>
      <c r="F17" s="56">
        <v>3965</v>
      </c>
      <c r="G17" s="56">
        <v>1924</v>
      </c>
      <c r="H17" s="56">
        <v>3940</v>
      </c>
      <c r="I17" s="56">
        <v>5323</v>
      </c>
      <c r="J17" s="56">
        <v>4663</v>
      </c>
      <c r="K17" s="52">
        <v>2488</v>
      </c>
      <c r="L17" s="52">
        <v>889</v>
      </c>
      <c r="M17" s="52">
        <v>1690</v>
      </c>
      <c r="N17" s="52">
        <v>-3659</v>
      </c>
      <c r="O17" s="52">
        <v>447</v>
      </c>
      <c r="P17" s="52">
        <v>399</v>
      </c>
      <c r="Q17" s="52">
        <v>419</v>
      </c>
      <c r="R17" s="52">
        <v>444</v>
      </c>
      <c r="S17" s="52">
        <f>520+8488</f>
        <v>9008</v>
      </c>
      <c r="T17" s="52">
        <v>9679</v>
      </c>
      <c r="U17" s="52">
        <f>230+10055</f>
        <v>10285</v>
      </c>
      <c r="V17" s="52">
        <f>12217-40</f>
        <v>12177</v>
      </c>
      <c r="W17" s="52">
        <v>10907</v>
      </c>
      <c r="X17" s="52">
        <v>11146</v>
      </c>
      <c r="Y17" s="52">
        <v>11481</v>
      </c>
      <c r="Z17" s="52">
        <v>11647</v>
      </c>
      <c r="AA17" s="52">
        <v>11305</v>
      </c>
      <c r="AB17" s="52">
        <v>11674</v>
      </c>
      <c r="AC17" s="52">
        <v>11292</v>
      </c>
      <c r="AD17" s="52">
        <v>13105</v>
      </c>
      <c r="AE17" s="52">
        <v>18395</v>
      </c>
      <c r="AF17" s="52">
        <v>34807</v>
      </c>
      <c r="AG17" s="52">
        <v>45294</v>
      </c>
      <c r="AH17" s="52">
        <v>47083</v>
      </c>
      <c r="AI17" s="52">
        <v>38889</v>
      </c>
      <c r="AJ17" s="52">
        <v>36774</v>
      </c>
      <c r="AK17" s="52">
        <v>31224</v>
      </c>
      <c r="AL17" s="52">
        <v>29229</v>
      </c>
      <c r="AM17" s="52">
        <v>26426</v>
      </c>
    </row>
    <row r="18" spans="1:39" ht="13" customHeight="1">
      <c r="A18" s="5" t="s">
        <v>226</v>
      </c>
      <c r="B18" s="5" t="s">
        <v>57</v>
      </c>
      <c r="C18" s="57">
        <v>101379</v>
      </c>
      <c r="D18" s="57">
        <v>112159</v>
      </c>
      <c r="E18" s="57">
        <v>108246</v>
      </c>
      <c r="F18" s="57">
        <v>104038</v>
      </c>
      <c r="G18" s="57">
        <v>32927</v>
      </c>
      <c r="H18" s="57">
        <v>33542</v>
      </c>
      <c r="I18" s="57">
        <v>32931</v>
      </c>
      <c r="J18" s="57">
        <v>57547</v>
      </c>
      <c r="K18" s="57">
        <v>70725</v>
      </c>
      <c r="L18" s="57">
        <v>40065</v>
      </c>
      <c r="M18" s="57">
        <v>30332</v>
      </c>
      <c r="N18" s="57">
        <v>31942</v>
      </c>
      <c r="O18" s="58" t="s">
        <v>97</v>
      </c>
      <c r="P18" s="58" t="s">
        <v>97</v>
      </c>
      <c r="Q18" s="58" t="s">
        <v>97</v>
      </c>
      <c r="R18" s="58" t="s">
        <v>97</v>
      </c>
      <c r="S18" s="58" t="s">
        <v>97</v>
      </c>
      <c r="T18" s="58" t="s">
        <v>97</v>
      </c>
      <c r="U18" s="58" t="s">
        <v>97</v>
      </c>
      <c r="V18" s="58" t="s">
        <v>97</v>
      </c>
      <c r="W18" s="58" t="s">
        <v>97</v>
      </c>
      <c r="X18" s="58" t="s">
        <v>97</v>
      </c>
      <c r="Y18" s="58" t="s">
        <v>97</v>
      </c>
      <c r="Z18" s="58" t="s">
        <v>97</v>
      </c>
      <c r="AA18" s="58" t="s">
        <v>97</v>
      </c>
      <c r="AB18" s="58" t="s">
        <v>97</v>
      </c>
      <c r="AC18" s="58" t="s">
        <v>97</v>
      </c>
      <c r="AD18" s="58" t="s">
        <v>97</v>
      </c>
      <c r="AE18" s="58" t="s">
        <v>97</v>
      </c>
      <c r="AF18" s="58" t="s">
        <v>97</v>
      </c>
      <c r="AG18" s="58" t="s">
        <v>97</v>
      </c>
      <c r="AH18" s="58" t="s">
        <v>97</v>
      </c>
      <c r="AI18" s="58" t="s">
        <v>97</v>
      </c>
      <c r="AJ18" s="58" t="s">
        <v>97</v>
      </c>
      <c r="AK18" s="58" t="s">
        <v>97</v>
      </c>
      <c r="AL18" s="58" t="s">
        <v>97</v>
      </c>
      <c r="AM18" s="58" t="s">
        <v>97</v>
      </c>
    </row>
    <row r="19" spans="1:39" ht="13" customHeight="1">
      <c r="A19" s="5" t="s">
        <v>227</v>
      </c>
      <c r="B19" s="5" t="s">
        <v>67</v>
      </c>
      <c r="C19" s="52">
        <v>3992</v>
      </c>
      <c r="D19" s="52">
        <v>3557</v>
      </c>
      <c r="E19" s="52">
        <v>3694</v>
      </c>
      <c r="F19" s="52">
        <v>3954</v>
      </c>
      <c r="G19" s="52">
        <v>4142</v>
      </c>
      <c r="H19" s="52">
        <v>4406</v>
      </c>
      <c r="I19" s="52">
        <v>4689</v>
      </c>
      <c r="J19" s="52">
        <v>5721</v>
      </c>
      <c r="K19" s="52">
        <v>5963</v>
      </c>
      <c r="L19" s="52">
        <v>6140</v>
      </c>
      <c r="M19" s="52">
        <v>6472</v>
      </c>
      <c r="N19" s="52">
        <v>6581</v>
      </c>
      <c r="O19" s="55" t="s">
        <v>97</v>
      </c>
      <c r="P19" s="55" t="s">
        <v>97</v>
      </c>
      <c r="Q19" s="55" t="s">
        <v>97</v>
      </c>
      <c r="R19" s="55" t="s">
        <v>97</v>
      </c>
      <c r="S19" s="55" t="s">
        <v>97</v>
      </c>
      <c r="T19" s="55" t="s">
        <v>97</v>
      </c>
      <c r="U19" s="55" t="s">
        <v>97</v>
      </c>
      <c r="V19" s="55" t="s">
        <v>97</v>
      </c>
      <c r="W19" s="55" t="s">
        <v>97</v>
      </c>
      <c r="X19" s="55" t="s">
        <v>97</v>
      </c>
      <c r="Y19" s="55" t="s">
        <v>97</v>
      </c>
      <c r="Z19" s="55" t="s">
        <v>97</v>
      </c>
      <c r="AA19" s="55" t="s">
        <v>97</v>
      </c>
      <c r="AB19" s="55" t="s">
        <v>97</v>
      </c>
      <c r="AC19" s="55" t="s">
        <v>97</v>
      </c>
      <c r="AD19" s="55" t="s">
        <v>97</v>
      </c>
      <c r="AE19" s="55" t="s">
        <v>97</v>
      </c>
      <c r="AF19" s="55" t="s">
        <v>97</v>
      </c>
      <c r="AG19" s="55" t="s">
        <v>97</v>
      </c>
      <c r="AH19" s="55" t="s">
        <v>97</v>
      </c>
      <c r="AI19" s="55" t="s">
        <v>97</v>
      </c>
      <c r="AJ19" s="55" t="s">
        <v>97</v>
      </c>
      <c r="AK19" s="55" t="s">
        <v>97</v>
      </c>
      <c r="AL19" s="55" t="s">
        <v>97</v>
      </c>
      <c r="AM19" s="55" t="s">
        <v>97</v>
      </c>
    </row>
    <row r="20" spans="1:39" ht="13" customHeight="1">
      <c r="A20" s="5" t="s">
        <v>228</v>
      </c>
      <c r="B20" s="5" t="s">
        <v>68</v>
      </c>
      <c r="C20" s="52">
        <v>136</v>
      </c>
      <c r="D20" s="52">
        <v>464</v>
      </c>
      <c r="E20" s="52">
        <v>425</v>
      </c>
      <c r="F20" s="52">
        <v>284</v>
      </c>
      <c r="G20" s="52">
        <v>113</v>
      </c>
      <c r="H20" s="52">
        <v>221</v>
      </c>
      <c r="I20" s="52">
        <v>352</v>
      </c>
      <c r="J20" s="52">
        <v>499</v>
      </c>
      <c r="K20" s="52">
        <v>283</v>
      </c>
      <c r="L20" s="52">
        <v>566</v>
      </c>
      <c r="M20" s="52">
        <v>264</v>
      </c>
      <c r="N20" s="52">
        <v>445</v>
      </c>
      <c r="O20" s="55" t="s">
        <v>97</v>
      </c>
      <c r="P20" s="55" t="s">
        <v>97</v>
      </c>
      <c r="Q20" s="55" t="s">
        <v>97</v>
      </c>
      <c r="R20" s="55" t="s">
        <v>97</v>
      </c>
      <c r="S20" s="55" t="s">
        <v>97</v>
      </c>
      <c r="T20" s="55" t="s">
        <v>97</v>
      </c>
      <c r="U20" s="55" t="s">
        <v>97</v>
      </c>
      <c r="V20" s="55" t="s">
        <v>97</v>
      </c>
      <c r="W20" s="55" t="s">
        <v>97</v>
      </c>
      <c r="X20" s="55" t="s">
        <v>97</v>
      </c>
      <c r="Y20" s="55" t="s">
        <v>97</v>
      </c>
      <c r="Z20" s="55" t="s">
        <v>97</v>
      </c>
      <c r="AA20" s="55" t="s">
        <v>97</v>
      </c>
      <c r="AB20" s="55" t="s">
        <v>97</v>
      </c>
      <c r="AC20" s="55" t="s">
        <v>97</v>
      </c>
      <c r="AD20" s="55" t="s">
        <v>97</v>
      </c>
      <c r="AE20" s="55" t="s">
        <v>97</v>
      </c>
      <c r="AF20" s="55" t="s">
        <v>97</v>
      </c>
      <c r="AG20" s="55" t="s">
        <v>97</v>
      </c>
      <c r="AH20" s="55" t="s">
        <v>97</v>
      </c>
      <c r="AI20" s="55" t="s">
        <v>97</v>
      </c>
      <c r="AJ20" s="55" t="s">
        <v>97</v>
      </c>
      <c r="AK20" s="55" t="s">
        <v>97</v>
      </c>
      <c r="AL20" s="55" t="s">
        <v>97</v>
      </c>
      <c r="AM20" s="55" t="s">
        <v>97</v>
      </c>
    </row>
    <row r="21" spans="1:39" ht="13" customHeight="1">
      <c r="A21" s="5" t="s">
        <v>229</v>
      </c>
      <c r="B21" s="5" t="s">
        <v>60</v>
      </c>
      <c r="C21" s="52">
        <v>97251</v>
      </c>
      <c r="D21" s="52">
        <v>108138</v>
      </c>
      <c r="E21" s="52">
        <v>104127</v>
      </c>
      <c r="F21" s="52">
        <v>99800</v>
      </c>
      <c r="G21" s="52">
        <v>28672</v>
      </c>
      <c r="H21" s="52">
        <v>28915</v>
      </c>
      <c r="I21" s="52">
        <v>27890</v>
      </c>
      <c r="J21" s="52">
        <v>51327</v>
      </c>
      <c r="K21" s="52">
        <v>64479</v>
      </c>
      <c r="L21" s="52">
        <v>33359</v>
      </c>
      <c r="M21" s="52">
        <v>23596</v>
      </c>
      <c r="N21" s="52">
        <v>24916</v>
      </c>
      <c r="O21" s="55" t="s">
        <v>97</v>
      </c>
      <c r="P21" s="55" t="s">
        <v>97</v>
      </c>
      <c r="Q21" s="55" t="s">
        <v>97</v>
      </c>
      <c r="R21" s="55" t="s">
        <v>97</v>
      </c>
      <c r="S21" s="55" t="s">
        <v>97</v>
      </c>
      <c r="T21" s="55" t="s">
        <v>97</v>
      </c>
      <c r="U21" s="55" t="s">
        <v>97</v>
      </c>
      <c r="V21" s="55" t="s">
        <v>97</v>
      </c>
      <c r="W21" s="55" t="s">
        <v>97</v>
      </c>
      <c r="X21" s="55" t="s">
        <v>97</v>
      </c>
      <c r="Y21" s="55" t="s">
        <v>97</v>
      </c>
      <c r="Z21" s="55" t="s">
        <v>97</v>
      </c>
      <c r="AA21" s="55" t="s">
        <v>97</v>
      </c>
      <c r="AB21" s="55" t="s">
        <v>97</v>
      </c>
      <c r="AC21" s="55" t="s">
        <v>97</v>
      </c>
      <c r="AD21" s="55" t="s">
        <v>97</v>
      </c>
      <c r="AE21" s="55" t="s">
        <v>97</v>
      </c>
      <c r="AF21" s="55" t="s">
        <v>97</v>
      </c>
      <c r="AG21" s="55" t="s">
        <v>97</v>
      </c>
      <c r="AH21" s="55" t="s">
        <v>97</v>
      </c>
      <c r="AI21" s="55" t="s">
        <v>97</v>
      </c>
      <c r="AJ21" s="55" t="s">
        <v>97</v>
      </c>
      <c r="AK21" s="55" t="s">
        <v>97</v>
      </c>
      <c r="AL21" s="55" t="s">
        <v>97</v>
      </c>
      <c r="AM21" s="55" t="s">
        <v>97</v>
      </c>
    </row>
    <row r="22" spans="1:39" ht="13" customHeight="1">
      <c r="A22" s="49" t="s">
        <v>226</v>
      </c>
      <c r="B22" s="49" t="s">
        <v>13</v>
      </c>
      <c r="C22" s="50" t="s">
        <v>97</v>
      </c>
      <c r="D22" s="50" t="s">
        <v>97</v>
      </c>
      <c r="E22" s="50" t="s">
        <v>97</v>
      </c>
      <c r="F22" s="50" t="s">
        <v>97</v>
      </c>
      <c r="G22" s="50" t="s">
        <v>97</v>
      </c>
      <c r="H22" s="50" t="s">
        <v>97</v>
      </c>
      <c r="I22" s="50" t="s">
        <v>97</v>
      </c>
      <c r="J22" s="50" t="s">
        <v>97</v>
      </c>
      <c r="K22" s="50" t="s">
        <v>97</v>
      </c>
      <c r="L22" s="50" t="s">
        <v>97</v>
      </c>
      <c r="M22" s="50" t="s">
        <v>97</v>
      </c>
      <c r="N22" s="50" t="s">
        <v>97</v>
      </c>
      <c r="O22" s="51">
        <v>35078</v>
      </c>
      <c r="P22" s="51">
        <v>52175</v>
      </c>
      <c r="Q22" s="51">
        <v>38463</v>
      </c>
      <c r="R22" s="51">
        <f>38112-12913</f>
        <v>25199</v>
      </c>
      <c r="S22" s="51">
        <f t="shared" ref="S22:X22" si="5">S25</f>
        <v>33474</v>
      </c>
      <c r="T22" s="51">
        <f t="shared" si="5"/>
        <v>35442</v>
      </c>
      <c r="U22" s="51">
        <f t="shared" si="5"/>
        <v>44164</v>
      </c>
      <c r="V22" s="51">
        <f t="shared" si="5"/>
        <v>40445</v>
      </c>
      <c r="W22" s="51">
        <f t="shared" si="5"/>
        <v>22486</v>
      </c>
      <c r="X22" s="51">
        <f t="shared" si="5"/>
        <v>38304</v>
      </c>
      <c r="Y22" s="51">
        <v>54324</v>
      </c>
      <c r="Z22" s="51">
        <f t="shared" ref="Z22:AE22" si="6">Z25</f>
        <v>58714</v>
      </c>
      <c r="AA22" s="51">
        <f t="shared" si="6"/>
        <v>62130</v>
      </c>
      <c r="AB22" s="51">
        <f t="shared" si="6"/>
        <v>48787</v>
      </c>
      <c r="AC22" s="51">
        <f t="shared" si="6"/>
        <v>52444</v>
      </c>
      <c r="AD22" s="51">
        <f t="shared" si="6"/>
        <v>35977</v>
      </c>
      <c r="AE22" s="51">
        <f t="shared" si="6"/>
        <v>22660</v>
      </c>
      <c r="AF22" s="51">
        <f t="shared" ref="AF22:AG22" si="7">AF25</f>
        <v>9985</v>
      </c>
      <c r="AG22" s="51">
        <f t="shared" si="7"/>
        <v>27763</v>
      </c>
      <c r="AH22" s="51">
        <f t="shared" ref="AH22:AM22" si="8">AH25+AH23</f>
        <v>138402</v>
      </c>
      <c r="AI22" s="51">
        <f t="shared" si="8"/>
        <v>148321</v>
      </c>
      <c r="AJ22" s="51">
        <f t="shared" si="8"/>
        <v>145571</v>
      </c>
      <c r="AK22" s="51">
        <f t="shared" si="8"/>
        <v>150473</v>
      </c>
      <c r="AL22" s="51">
        <f t="shared" si="8"/>
        <v>137414</v>
      </c>
      <c r="AM22" s="51">
        <f t="shared" si="8"/>
        <v>142142</v>
      </c>
    </row>
    <row r="23" spans="1:39" ht="13" customHeight="1">
      <c r="A23" s="151" t="s">
        <v>72</v>
      </c>
      <c r="B23" s="5" t="s">
        <v>72</v>
      </c>
      <c r="C23" s="55" t="s">
        <v>97</v>
      </c>
      <c r="D23" s="55" t="s">
        <v>97</v>
      </c>
      <c r="E23" s="55" t="s">
        <v>97</v>
      </c>
      <c r="F23" s="55" t="s">
        <v>97</v>
      </c>
      <c r="G23" s="55" t="s">
        <v>97</v>
      </c>
      <c r="H23" s="55" t="s">
        <v>97</v>
      </c>
      <c r="I23" s="55" t="s">
        <v>97</v>
      </c>
      <c r="J23" s="55" t="s">
        <v>97</v>
      </c>
      <c r="K23" s="55" t="s">
        <v>97</v>
      </c>
      <c r="L23" s="55" t="s">
        <v>97</v>
      </c>
      <c r="M23" s="55" t="s">
        <v>97</v>
      </c>
      <c r="N23" s="55" t="s">
        <v>97</v>
      </c>
      <c r="O23" s="52">
        <v>2717</v>
      </c>
      <c r="P23" s="52">
        <v>2564</v>
      </c>
      <c r="Q23" s="52">
        <v>2644</v>
      </c>
      <c r="R23" s="52">
        <v>2793</v>
      </c>
      <c r="S23" s="55" t="s">
        <v>97</v>
      </c>
      <c r="T23" s="55" t="s">
        <v>97</v>
      </c>
      <c r="U23" s="55" t="s">
        <v>97</v>
      </c>
      <c r="V23" s="55" t="s">
        <v>97</v>
      </c>
      <c r="W23" s="55" t="s">
        <v>97</v>
      </c>
      <c r="X23" s="55" t="s">
        <v>97</v>
      </c>
      <c r="Y23" s="55" t="s">
        <v>97</v>
      </c>
      <c r="Z23" s="55" t="s">
        <v>97</v>
      </c>
      <c r="AA23" s="55" t="s">
        <v>97</v>
      </c>
      <c r="AB23" s="55" t="s">
        <v>97</v>
      </c>
      <c r="AC23" s="55" t="s">
        <v>97</v>
      </c>
      <c r="AD23" s="55" t="s">
        <v>97</v>
      </c>
      <c r="AE23" s="55" t="s">
        <v>97</v>
      </c>
      <c r="AF23" s="55" t="s">
        <v>97</v>
      </c>
      <c r="AG23" s="55" t="s">
        <v>97</v>
      </c>
      <c r="AH23" s="55">
        <v>106010</v>
      </c>
      <c r="AI23" s="55">
        <v>106584</v>
      </c>
      <c r="AJ23" s="55">
        <v>105334</v>
      </c>
      <c r="AK23" s="55">
        <v>108328</v>
      </c>
      <c r="AL23" s="52">
        <v>107524</v>
      </c>
      <c r="AM23" s="52">
        <v>106822</v>
      </c>
    </row>
    <row r="24" spans="1:39" ht="13" customHeight="1">
      <c r="A24" s="5" t="s">
        <v>228</v>
      </c>
      <c r="B24" s="5" t="s">
        <v>68</v>
      </c>
      <c r="C24" s="55" t="s">
        <v>97</v>
      </c>
      <c r="D24" s="55" t="s">
        <v>97</v>
      </c>
      <c r="E24" s="55" t="s">
        <v>97</v>
      </c>
      <c r="F24" s="55" t="s">
        <v>97</v>
      </c>
      <c r="G24" s="55" t="s">
        <v>97</v>
      </c>
      <c r="H24" s="55" t="s">
        <v>97</v>
      </c>
      <c r="I24" s="55" t="s">
        <v>97</v>
      </c>
      <c r="J24" s="55" t="s">
        <v>97</v>
      </c>
      <c r="K24" s="55" t="s">
        <v>97</v>
      </c>
      <c r="L24" s="55" t="s">
        <v>97</v>
      </c>
      <c r="M24" s="55" t="s">
        <v>97</v>
      </c>
      <c r="N24" s="55" t="s">
        <v>97</v>
      </c>
      <c r="O24" s="52">
        <v>490</v>
      </c>
      <c r="P24" s="52">
        <v>624</v>
      </c>
      <c r="Q24" s="52">
        <v>572</v>
      </c>
      <c r="R24" s="52">
        <v>509</v>
      </c>
      <c r="S24" s="55" t="s">
        <v>97</v>
      </c>
      <c r="T24" s="55" t="s">
        <v>97</v>
      </c>
      <c r="U24" s="55" t="s">
        <v>97</v>
      </c>
      <c r="V24" s="55" t="s">
        <v>97</v>
      </c>
      <c r="W24" s="55" t="s">
        <v>97</v>
      </c>
      <c r="X24" s="55" t="s">
        <v>97</v>
      </c>
      <c r="Y24" s="55" t="s">
        <v>97</v>
      </c>
      <c r="Z24" s="55" t="s">
        <v>97</v>
      </c>
      <c r="AA24" s="55" t="s">
        <v>97</v>
      </c>
      <c r="AB24" s="55" t="s">
        <v>97</v>
      </c>
      <c r="AC24" s="55" t="s">
        <v>97</v>
      </c>
      <c r="AD24" s="55" t="s">
        <v>97</v>
      </c>
      <c r="AE24" s="55" t="s">
        <v>97</v>
      </c>
      <c r="AF24" s="55" t="s">
        <v>97</v>
      </c>
      <c r="AG24" s="55" t="s">
        <v>97</v>
      </c>
      <c r="AH24" s="55" t="s">
        <v>97</v>
      </c>
      <c r="AI24" s="55" t="s">
        <v>97</v>
      </c>
      <c r="AJ24" s="55" t="s">
        <v>97</v>
      </c>
      <c r="AK24" s="55" t="s">
        <v>97</v>
      </c>
      <c r="AL24" s="55" t="s">
        <v>97</v>
      </c>
      <c r="AM24" s="55" t="s">
        <v>97</v>
      </c>
    </row>
    <row r="25" spans="1:39" ht="13" customHeight="1">
      <c r="A25" s="5" t="s">
        <v>229</v>
      </c>
      <c r="B25" s="5" t="s">
        <v>76</v>
      </c>
      <c r="C25" s="55" t="s">
        <v>97</v>
      </c>
      <c r="D25" s="55" t="s">
        <v>97</v>
      </c>
      <c r="E25" s="55" t="s">
        <v>97</v>
      </c>
      <c r="F25" s="55" t="s">
        <v>97</v>
      </c>
      <c r="G25" s="55" t="s">
        <v>97</v>
      </c>
      <c r="H25" s="55" t="s">
        <v>97</v>
      </c>
      <c r="I25" s="55" t="s">
        <v>97</v>
      </c>
      <c r="J25" s="55" t="s">
        <v>97</v>
      </c>
      <c r="K25" s="55" t="s">
        <v>97</v>
      </c>
      <c r="L25" s="55" t="s">
        <v>97</v>
      </c>
      <c r="M25" s="55" t="s">
        <v>97</v>
      </c>
      <c r="N25" s="55" t="s">
        <v>97</v>
      </c>
      <c r="O25" s="52">
        <v>31871</v>
      </c>
      <c r="P25" s="52">
        <v>48987</v>
      </c>
      <c r="Q25" s="52">
        <v>35247</v>
      </c>
      <c r="R25" s="52">
        <v>34810</v>
      </c>
      <c r="S25" s="52">
        <v>33474</v>
      </c>
      <c r="T25" s="52">
        <v>35442</v>
      </c>
      <c r="U25" s="52">
        <v>44164</v>
      </c>
      <c r="V25" s="52">
        <v>40445</v>
      </c>
      <c r="W25" s="52">
        <v>22486</v>
      </c>
      <c r="X25" s="52">
        <v>38304</v>
      </c>
      <c r="Y25" s="52">
        <v>54324</v>
      </c>
      <c r="Z25" s="52">
        <v>58714</v>
      </c>
      <c r="AA25" s="52">
        <v>62130</v>
      </c>
      <c r="AB25" s="52">
        <v>48787</v>
      </c>
      <c r="AC25" s="52">
        <v>52444</v>
      </c>
      <c r="AD25" s="52">
        <v>35977</v>
      </c>
      <c r="AE25" s="52">
        <v>22660</v>
      </c>
      <c r="AF25" s="52">
        <v>9985</v>
      </c>
      <c r="AG25" s="52">
        <v>27763</v>
      </c>
      <c r="AH25" s="52">
        <v>32392</v>
      </c>
      <c r="AI25" s="52">
        <v>41737</v>
      </c>
      <c r="AJ25" s="52">
        <v>40237</v>
      </c>
      <c r="AK25" s="55">
        <v>42145</v>
      </c>
      <c r="AL25" s="52">
        <v>29890</v>
      </c>
      <c r="AM25" s="52">
        <v>35320</v>
      </c>
    </row>
    <row r="26" spans="1:39" ht="13" customHeight="1" thickBot="1">
      <c r="A26" s="27" t="s">
        <v>197</v>
      </c>
      <c r="B26" s="27" t="s">
        <v>0</v>
      </c>
      <c r="C26" s="30">
        <f>C27+C34</f>
        <v>-211821</v>
      </c>
      <c r="D26" s="30">
        <f t="shared" ref="D26:T26" si="9">D27+D34</f>
        <v>-222926</v>
      </c>
      <c r="E26" s="30">
        <f t="shared" si="9"/>
        <v>-230697</v>
      </c>
      <c r="F26" s="30">
        <f t="shared" si="9"/>
        <v>-232763</v>
      </c>
      <c r="G26" s="30">
        <f t="shared" si="9"/>
        <v>-165508</v>
      </c>
      <c r="H26" s="30">
        <f t="shared" si="9"/>
        <v>-169958</v>
      </c>
      <c r="I26" s="30">
        <f t="shared" si="9"/>
        <v>-165380</v>
      </c>
      <c r="J26" s="30">
        <f t="shared" si="9"/>
        <v>-196986</v>
      </c>
      <c r="K26" s="30">
        <f t="shared" si="9"/>
        <v>-204313</v>
      </c>
      <c r="L26" s="30">
        <f t="shared" si="9"/>
        <v>-170049</v>
      </c>
      <c r="M26" s="30">
        <f t="shared" si="9"/>
        <v>-175482</v>
      </c>
      <c r="N26" s="30">
        <f t="shared" si="9"/>
        <v>-195146</v>
      </c>
      <c r="O26" s="30">
        <f t="shared" si="9"/>
        <v>-210323</v>
      </c>
      <c r="P26" s="30">
        <f t="shared" si="9"/>
        <v>-228486</v>
      </c>
      <c r="Q26" s="30">
        <f t="shared" si="9"/>
        <v>-213747</v>
      </c>
      <c r="R26" s="30">
        <f t="shared" si="9"/>
        <v>-219292</v>
      </c>
      <c r="S26" s="30">
        <f t="shared" si="9"/>
        <v>-216279</v>
      </c>
      <c r="T26" s="30">
        <f t="shared" si="9"/>
        <v>-217172</v>
      </c>
      <c r="U26" s="30">
        <v>-226328</v>
      </c>
      <c r="V26" s="30">
        <v>-218067</v>
      </c>
      <c r="W26" s="30">
        <f>W27+W34</f>
        <v>-183553</v>
      </c>
      <c r="X26" s="30">
        <f>X27+X34</f>
        <v>-137708</v>
      </c>
      <c r="Y26" s="30">
        <v>-97794</v>
      </c>
      <c r="Z26" s="30">
        <f t="shared" ref="Z26:AE26" si="10">Z27+Z34</f>
        <v>-67460</v>
      </c>
      <c r="AA26" s="30">
        <f t="shared" si="10"/>
        <v>-74488</v>
      </c>
      <c r="AB26" s="30">
        <f t="shared" si="10"/>
        <v>-51260</v>
      </c>
      <c r="AC26" s="30">
        <f t="shared" si="10"/>
        <v>-46495</v>
      </c>
      <c r="AD26" s="30">
        <f t="shared" si="10"/>
        <v>-66165</v>
      </c>
      <c r="AE26" s="30">
        <f t="shared" si="10"/>
        <v>-183412</v>
      </c>
      <c r="AF26" s="30">
        <f t="shared" ref="AF26:AG26" si="11">AF27+AF34</f>
        <v>-377730</v>
      </c>
      <c r="AG26" s="30">
        <f t="shared" si="11"/>
        <v>-596539</v>
      </c>
      <c r="AH26" s="30">
        <f t="shared" ref="AH26:AI26" si="12">AH27+AH34</f>
        <v>-672614</v>
      </c>
      <c r="AI26" s="30">
        <f t="shared" si="12"/>
        <v>-706738</v>
      </c>
      <c r="AJ26" s="30">
        <f t="shared" ref="AJ26:AK26" si="13">AJ27+AJ34</f>
        <v>-673747</v>
      </c>
      <c r="AK26" s="30">
        <f t="shared" si="13"/>
        <v>-668245</v>
      </c>
      <c r="AL26" s="30">
        <f t="shared" ref="AL26:AM26" si="14">AL27+AL34</f>
        <v>-574869</v>
      </c>
      <c r="AM26" s="30">
        <f t="shared" si="14"/>
        <v>-554297</v>
      </c>
    </row>
    <row r="27" spans="1:39" ht="34.5">
      <c r="A27" s="48" t="s">
        <v>231</v>
      </c>
      <c r="B27" s="48" t="s">
        <v>59</v>
      </c>
      <c r="C27" s="59">
        <v>-112865</v>
      </c>
      <c r="D27" s="59">
        <v>-115979</v>
      </c>
      <c r="E27" s="59">
        <v>-126557</v>
      </c>
      <c r="F27" s="59">
        <v>-133840</v>
      </c>
      <c r="G27" s="59">
        <v>-139447</v>
      </c>
      <c r="H27" s="59">
        <v>-143107</v>
      </c>
      <c r="I27" s="59">
        <v>-133054</v>
      </c>
      <c r="J27" s="59">
        <v>-129162</v>
      </c>
      <c r="K27" s="59">
        <v>-121222</v>
      </c>
      <c r="L27" s="59">
        <v>-114705</v>
      </c>
      <c r="M27" s="59">
        <v>-127339</v>
      </c>
      <c r="N27" s="59">
        <v>-132547</v>
      </c>
      <c r="O27" s="59">
        <v>-139201</v>
      </c>
      <c r="P27" s="59">
        <v>-139994</v>
      </c>
      <c r="Q27" s="59">
        <v>-127879</v>
      </c>
      <c r="R27" s="59">
        <v>-127707</v>
      </c>
      <c r="S27" s="59">
        <v>-126710</v>
      </c>
      <c r="T27" s="59">
        <v>-129634</v>
      </c>
      <c r="U27" s="59">
        <v>-132828</v>
      </c>
      <c r="V27" s="59">
        <v>-125696</v>
      </c>
      <c r="W27" s="59">
        <f>SUM(W28:W33)</f>
        <v>-109269</v>
      </c>
      <c r="X27" s="59">
        <f>SUM(X28:X33)</f>
        <v>-82135</v>
      </c>
      <c r="Y27" s="59">
        <v>-61558</v>
      </c>
      <c r="Z27" s="63">
        <f t="shared" ref="Z27:AE27" si="15">SUM(Z28:Z33)</f>
        <v>-33778</v>
      </c>
      <c r="AA27" s="63">
        <f t="shared" si="15"/>
        <v>-31824</v>
      </c>
      <c r="AB27" s="63">
        <f t="shared" si="15"/>
        <v>-24912</v>
      </c>
      <c r="AC27" s="63">
        <f t="shared" si="15"/>
        <v>-21664</v>
      </c>
      <c r="AD27" s="63">
        <f t="shared" si="15"/>
        <v>-28634</v>
      </c>
      <c r="AE27" s="63">
        <f t="shared" si="15"/>
        <v>-52418</v>
      </c>
      <c r="AF27" s="63">
        <f t="shared" ref="AF27:AG27" si="16">SUM(AF28:AF33)</f>
        <v>-122042</v>
      </c>
      <c r="AG27" s="63">
        <f t="shared" si="16"/>
        <v>-256350</v>
      </c>
      <c r="AH27" s="63">
        <f t="shared" ref="AH27:AM27" si="17">SUM(AH28:AH33)</f>
        <v>-310231</v>
      </c>
      <c r="AI27" s="63">
        <f t="shared" si="17"/>
        <v>-325158</v>
      </c>
      <c r="AJ27" s="63">
        <f t="shared" si="17"/>
        <v>-325276</v>
      </c>
      <c r="AK27" s="63">
        <f t="shared" si="17"/>
        <v>-324477</v>
      </c>
      <c r="AL27" s="63">
        <f t="shared" si="17"/>
        <v>-312541</v>
      </c>
      <c r="AM27" s="63">
        <f t="shared" si="17"/>
        <v>-317794</v>
      </c>
    </row>
    <row r="28" spans="1:39" ht="13" customHeight="1">
      <c r="A28" s="5" t="s">
        <v>219</v>
      </c>
      <c r="B28" s="5" t="s">
        <v>69</v>
      </c>
      <c r="C28" s="52">
        <v>-83108</v>
      </c>
      <c r="D28" s="52">
        <v>-85929</v>
      </c>
      <c r="E28" s="52">
        <v>-98190</v>
      </c>
      <c r="F28" s="52">
        <v>-101082</v>
      </c>
      <c r="G28" s="52">
        <v>-106815</v>
      </c>
      <c r="H28" s="52">
        <v>-106960</v>
      </c>
      <c r="I28" s="52">
        <v>-97203</v>
      </c>
      <c r="J28" s="52">
        <v>-89415</v>
      </c>
      <c r="K28" s="52">
        <v>-84885</v>
      </c>
      <c r="L28" s="52">
        <v>-78620</v>
      </c>
      <c r="M28" s="52">
        <v>-88967</v>
      </c>
      <c r="N28" s="52">
        <v>-93431</v>
      </c>
      <c r="O28" s="52">
        <v>-94796</v>
      </c>
      <c r="P28" s="52">
        <v>-95383</v>
      </c>
      <c r="Q28" s="52">
        <v>-88316</v>
      </c>
      <c r="R28" s="52">
        <v>-87074</v>
      </c>
      <c r="S28" s="52">
        <v>-86329</v>
      </c>
      <c r="T28" s="52">
        <v>-89530</v>
      </c>
      <c r="U28" s="52">
        <v>-91360</v>
      </c>
      <c r="V28" s="52">
        <v>-83740</v>
      </c>
      <c r="W28" s="52">
        <v>-68715</v>
      </c>
      <c r="X28" s="52">
        <v>-46725</v>
      </c>
      <c r="Y28" s="52">
        <v>-29069</v>
      </c>
      <c r="Z28" s="52">
        <v>-17480</v>
      </c>
      <c r="AA28" s="52">
        <v>-11091</v>
      </c>
      <c r="AB28" s="52">
        <v>-7104</v>
      </c>
      <c r="AC28" s="52">
        <v>-5186</v>
      </c>
      <c r="AD28" s="52">
        <v>-9392</v>
      </c>
      <c r="AE28" s="52">
        <v>-26586</v>
      </c>
      <c r="AF28" s="52">
        <v>-67509</v>
      </c>
      <c r="AG28" s="52">
        <v>-204929</v>
      </c>
      <c r="AH28" s="52">
        <v>-255020</v>
      </c>
      <c r="AI28" s="52">
        <v>-265701</v>
      </c>
      <c r="AJ28" s="52">
        <v>-258235</v>
      </c>
      <c r="AK28" s="52">
        <v>-240021</v>
      </c>
      <c r="AL28" s="52">
        <v>-225539</v>
      </c>
      <c r="AM28" s="52">
        <v>-228297</v>
      </c>
    </row>
    <row r="29" spans="1:39" ht="13" customHeight="1">
      <c r="A29" s="5" t="s">
        <v>232</v>
      </c>
      <c r="B29" s="5" t="s">
        <v>70</v>
      </c>
      <c r="C29" s="52">
        <v>-22949</v>
      </c>
      <c r="D29" s="52">
        <v>-24724</v>
      </c>
      <c r="E29" s="52">
        <v>-24964</v>
      </c>
      <c r="F29" s="52">
        <v>-29368</v>
      </c>
      <c r="G29" s="52">
        <v>-28597</v>
      </c>
      <c r="H29" s="52">
        <v>-30455</v>
      </c>
      <c r="I29" s="52">
        <v>-31754</v>
      </c>
      <c r="J29" s="52">
        <v>-33333</v>
      </c>
      <c r="K29" s="52">
        <v>-29509</v>
      </c>
      <c r="L29" s="52">
        <v>-29123</v>
      </c>
      <c r="M29" s="52">
        <v>-30506</v>
      </c>
      <c r="N29" s="52">
        <v>-32768</v>
      </c>
      <c r="O29" s="52">
        <v>-37135</v>
      </c>
      <c r="P29" s="52">
        <v>-36247</v>
      </c>
      <c r="Q29" s="52">
        <v>-32792</v>
      </c>
      <c r="R29" s="52">
        <v>-33511</v>
      </c>
      <c r="S29" s="52">
        <v>-32117</v>
      </c>
      <c r="T29" s="52">
        <v>-32079</v>
      </c>
      <c r="U29" s="52">
        <v>-33012</v>
      </c>
      <c r="V29" s="52">
        <v>-34785</v>
      </c>
      <c r="W29" s="52">
        <v>-30307</v>
      </c>
      <c r="X29" s="52">
        <v>-31889</v>
      </c>
      <c r="Y29" s="52">
        <v>-29793</v>
      </c>
      <c r="Z29" s="52">
        <v>-15184</v>
      </c>
      <c r="AA29" s="52">
        <v>-19124</v>
      </c>
      <c r="AB29" s="52">
        <v>-16177</v>
      </c>
      <c r="AC29" s="52">
        <v>-14686</v>
      </c>
      <c r="AD29" s="52">
        <v>-15418</v>
      </c>
      <c r="AE29" s="52">
        <v>-14242</v>
      </c>
      <c r="AF29" s="52">
        <v>-22574</v>
      </c>
      <c r="AG29" s="52">
        <v>-25857</v>
      </c>
      <c r="AH29" s="52">
        <v>-31800</v>
      </c>
      <c r="AI29" s="52">
        <v>-34431</v>
      </c>
      <c r="AJ29" s="52">
        <v>-36771</v>
      </c>
      <c r="AK29" s="52">
        <v>-48073</v>
      </c>
      <c r="AL29" s="52">
        <v>-47320</v>
      </c>
      <c r="AM29" s="52">
        <v>-47753</v>
      </c>
    </row>
    <row r="30" spans="1:39" ht="13" customHeight="1">
      <c r="A30" s="5" t="s">
        <v>225</v>
      </c>
      <c r="B30" s="5" t="s">
        <v>65</v>
      </c>
      <c r="C30" s="52">
        <v>-5380</v>
      </c>
      <c r="D30" s="52">
        <v>-4629</v>
      </c>
      <c r="E30" s="52">
        <v>-1828</v>
      </c>
      <c r="F30" s="52">
        <v>-2251</v>
      </c>
      <c r="G30" s="52">
        <v>-2384</v>
      </c>
      <c r="H30" s="52">
        <v>-3715</v>
      </c>
      <c r="I30" s="52">
        <v>-3118</v>
      </c>
      <c r="J30" s="52">
        <v>-4620</v>
      </c>
      <c r="K30" s="52">
        <v>-4096</v>
      </c>
      <c r="L30" s="52">
        <v>-3770</v>
      </c>
      <c r="M30" s="52">
        <v>-4612</v>
      </c>
      <c r="N30" s="52">
        <v>-3521</v>
      </c>
      <c r="O30" s="52">
        <v>-4286</v>
      </c>
      <c r="P30" s="52">
        <v>-4243</v>
      </c>
      <c r="Q30" s="52">
        <v>-3245</v>
      </c>
      <c r="R30" s="52">
        <v>-2879</v>
      </c>
      <c r="S30" s="52">
        <v>-3559</v>
      </c>
      <c r="T30" s="52">
        <v>-3059</v>
      </c>
      <c r="U30" s="52">
        <v>-2904</v>
      </c>
      <c r="V30" s="52">
        <v>-3347</v>
      </c>
      <c r="W30" s="52">
        <v>-4685</v>
      </c>
      <c r="X30" s="52">
        <v>-724</v>
      </c>
      <c r="Y30" s="52">
        <v>-78</v>
      </c>
      <c r="Z30" s="52">
        <v>-56</v>
      </c>
      <c r="AA30" s="52">
        <v>-20</v>
      </c>
      <c r="AB30" s="52">
        <v>-29</v>
      </c>
      <c r="AC30" s="52">
        <v>-40</v>
      </c>
      <c r="AD30" s="52">
        <v>-1204</v>
      </c>
      <c r="AE30" s="52">
        <v>-8613</v>
      </c>
      <c r="AF30" s="52">
        <v>-28475</v>
      </c>
      <c r="AG30" s="52">
        <v>-20890</v>
      </c>
      <c r="AH30" s="52">
        <v>-18615</v>
      </c>
      <c r="AI30" s="52">
        <v>-19261</v>
      </c>
      <c r="AJ30" s="52">
        <v>-24186</v>
      </c>
      <c r="AK30" s="52">
        <v>-29384</v>
      </c>
      <c r="AL30" s="52">
        <v>-31722</v>
      </c>
      <c r="AM30" s="52">
        <v>-34984</v>
      </c>
    </row>
    <row r="31" spans="1:39" ht="13" customHeight="1">
      <c r="A31" s="5" t="s">
        <v>233</v>
      </c>
      <c r="B31" s="5" t="s">
        <v>71</v>
      </c>
      <c r="C31" s="52">
        <v>-910</v>
      </c>
      <c r="D31" s="52">
        <v>274</v>
      </c>
      <c r="E31" s="52">
        <v>-950</v>
      </c>
      <c r="F31" s="52">
        <v>-601</v>
      </c>
      <c r="G31" s="52">
        <v>-1081</v>
      </c>
      <c r="H31" s="52">
        <v>-1159</v>
      </c>
      <c r="I31" s="52">
        <v>-504</v>
      </c>
      <c r="J31" s="52">
        <v>-702</v>
      </c>
      <c r="K31" s="52">
        <v>-1017</v>
      </c>
      <c r="L31" s="52">
        <v>-837</v>
      </c>
      <c r="M31" s="52">
        <v>-779</v>
      </c>
      <c r="N31" s="52">
        <v>-667</v>
      </c>
      <c r="O31" s="52">
        <v>-825</v>
      </c>
      <c r="P31" s="52">
        <v>-735</v>
      </c>
      <c r="Q31" s="52">
        <v>-732</v>
      </c>
      <c r="R31" s="52">
        <v>-365</v>
      </c>
      <c r="S31" s="52">
        <v>-767</v>
      </c>
      <c r="T31" s="52">
        <v>-622</v>
      </c>
      <c r="U31" s="52">
        <v>-280</v>
      </c>
      <c r="V31" s="52">
        <v>-553</v>
      </c>
      <c r="W31" s="52">
        <v>-739</v>
      </c>
      <c r="X31" s="52">
        <v>-521</v>
      </c>
      <c r="Y31" s="52">
        <v>-383</v>
      </c>
      <c r="Z31" s="52">
        <v>-552</v>
      </c>
      <c r="AA31" s="52">
        <v>-574</v>
      </c>
      <c r="AB31" s="52">
        <v>-655</v>
      </c>
      <c r="AC31" s="52">
        <v>-835</v>
      </c>
      <c r="AD31" s="52">
        <v>-1033</v>
      </c>
      <c r="AE31" s="52">
        <v>-1216</v>
      </c>
      <c r="AF31" s="52">
        <v>-1483</v>
      </c>
      <c r="AG31" s="52">
        <v>-1295</v>
      </c>
      <c r="AH31" s="52">
        <v>-996</v>
      </c>
      <c r="AI31" s="52">
        <v>-874</v>
      </c>
      <c r="AJ31" s="52">
        <v>-960</v>
      </c>
      <c r="AK31" s="52">
        <v>-1131</v>
      </c>
      <c r="AL31" s="52">
        <v>-1716</v>
      </c>
      <c r="AM31" s="52">
        <v>-1197</v>
      </c>
    </row>
    <row r="32" spans="1:39" s="4" customFormat="1" ht="13" customHeight="1">
      <c r="A32" s="5" t="s">
        <v>72</v>
      </c>
      <c r="B32" s="5" t="s">
        <v>72</v>
      </c>
      <c r="C32" s="55" t="s">
        <v>97</v>
      </c>
      <c r="D32" s="55" t="s">
        <v>97</v>
      </c>
      <c r="E32" s="55" t="s">
        <v>97</v>
      </c>
      <c r="F32" s="55" t="s">
        <v>97</v>
      </c>
      <c r="G32" s="55" t="s">
        <v>97</v>
      </c>
      <c r="H32" s="55" t="s">
        <v>97</v>
      </c>
      <c r="I32" s="55" t="s">
        <v>97</v>
      </c>
      <c r="J32" s="55" t="s">
        <v>97</v>
      </c>
      <c r="K32" s="55" t="s">
        <v>97</v>
      </c>
      <c r="L32" s="55" t="s">
        <v>97</v>
      </c>
      <c r="M32" s="55" t="s">
        <v>97</v>
      </c>
      <c r="N32" s="55" t="s">
        <v>97</v>
      </c>
      <c r="O32" s="55" t="s">
        <v>97</v>
      </c>
      <c r="P32" s="55" t="s">
        <v>97</v>
      </c>
      <c r="Q32" s="55" t="s">
        <v>97</v>
      </c>
      <c r="R32" s="55" t="s">
        <v>97</v>
      </c>
      <c r="S32" s="52">
        <v>-932</v>
      </c>
      <c r="T32" s="52">
        <v>-1240</v>
      </c>
      <c r="U32" s="52">
        <v>-1124</v>
      </c>
      <c r="V32" s="52">
        <v>-1405</v>
      </c>
      <c r="W32" s="52">
        <v>-801</v>
      </c>
      <c r="X32" s="52">
        <v>-730</v>
      </c>
      <c r="Y32" s="52">
        <v>-684</v>
      </c>
      <c r="Z32" s="52">
        <v>-902</v>
      </c>
      <c r="AA32" s="52">
        <v>-400</v>
      </c>
      <c r="AB32" s="52">
        <v>-394</v>
      </c>
      <c r="AC32" s="52">
        <v>-397</v>
      </c>
      <c r="AD32" s="52">
        <v>-827</v>
      </c>
      <c r="AE32" s="52">
        <v>-947</v>
      </c>
      <c r="AF32" s="52">
        <v>-998</v>
      </c>
      <c r="AG32" s="52">
        <v>-1658</v>
      </c>
      <c r="AH32" s="52">
        <v>-2017</v>
      </c>
      <c r="AI32" s="52">
        <v>-2176</v>
      </c>
      <c r="AJ32" s="52">
        <v>-2429</v>
      </c>
      <c r="AK32" s="52">
        <v>-2749</v>
      </c>
      <c r="AL32" s="52">
        <v>-3217</v>
      </c>
      <c r="AM32" s="52">
        <v>-2567</v>
      </c>
    </row>
    <row r="33" spans="1:39" ht="13" customHeight="1">
      <c r="A33" s="5" t="s">
        <v>234</v>
      </c>
      <c r="B33" s="5" t="s">
        <v>66</v>
      </c>
      <c r="C33" s="52">
        <v>-518</v>
      </c>
      <c r="D33" s="52">
        <v>-971</v>
      </c>
      <c r="E33" s="52">
        <v>-625</v>
      </c>
      <c r="F33" s="52">
        <v>-538</v>
      </c>
      <c r="G33" s="52">
        <v>-570</v>
      </c>
      <c r="H33" s="52">
        <v>-818</v>
      </c>
      <c r="I33" s="52">
        <v>-475</v>
      </c>
      <c r="J33" s="52">
        <v>-1092</v>
      </c>
      <c r="K33" s="52">
        <v>-1715</v>
      </c>
      <c r="L33" s="52">
        <v>-2355</v>
      </c>
      <c r="M33" s="52">
        <v>-2475</v>
      </c>
      <c r="N33" s="52">
        <v>-2160</v>
      </c>
      <c r="O33" s="52">
        <v>-2159</v>
      </c>
      <c r="P33" s="52">
        <v>-3386</v>
      </c>
      <c r="Q33" s="52">
        <v>-2794</v>
      </c>
      <c r="R33" s="52">
        <v>-3878</v>
      </c>
      <c r="S33" s="52">
        <v>-3006</v>
      </c>
      <c r="T33" s="52">
        <v>-3104</v>
      </c>
      <c r="U33" s="52">
        <v>-4148</v>
      </c>
      <c r="V33" s="52">
        <v>-1866</v>
      </c>
      <c r="W33" s="52">
        <v>-4022</v>
      </c>
      <c r="X33" s="52">
        <v>-1546</v>
      </c>
      <c r="Y33" s="52">
        <v>-1551</v>
      </c>
      <c r="Z33" s="52">
        <v>396</v>
      </c>
      <c r="AA33" s="52">
        <v>-615</v>
      </c>
      <c r="AB33" s="52">
        <v>-553</v>
      </c>
      <c r="AC33" s="52">
        <v>-520</v>
      </c>
      <c r="AD33" s="52">
        <v>-760</v>
      </c>
      <c r="AE33" s="52">
        <v>-814</v>
      </c>
      <c r="AF33" s="52">
        <v>-1003</v>
      </c>
      <c r="AG33" s="52">
        <v>-1721</v>
      </c>
      <c r="AH33" s="52">
        <v>-1783</v>
      </c>
      <c r="AI33" s="52">
        <v>-2715</v>
      </c>
      <c r="AJ33" s="52">
        <v>-2695</v>
      </c>
      <c r="AK33" s="52">
        <v>-3119</v>
      </c>
      <c r="AL33" s="52">
        <v>-3027</v>
      </c>
      <c r="AM33" s="52">
        <v>-2996</v>
      </c>
    </row>
    <row r="34" spans="1:39" ht="13" customHeight="1">
      <c r="A34" s="5" t="s">
        <v>235</v>
      </c>
      <c r="B34" s="5" t="s">
        <v>58</v>
      </c>
      <c r="C34" s="57">
        <v>-98956</v>
      </c>
      <c r="D34" s="57">
        <v>-106947</v>
      </c>
      <c r="E34" s="57">
        <v>-104140</v>
      </c>
      <c r="F34" s="57">
        <v>-98923</v>
      </c>
      <c r="G34" s="57">
        <v>-26061</v>
      </c>
      <c r="H34" s="57">
        <v>-26851</v>
      </c>
      <c r="I34" s="57">
        <v>-32326</v>
      </c>
      <c r="J34" s="57">
        <v>-67824</v>
      </c>
      <c r="K34" s="57">
        <v>-83091</v>
      </c>
      <c r="L34" s="57">
        <v>-55344</v>
      </c>
      <c r="M34" s="57">
        <v>-48143</v>
      </c>
      <c r="N34" s="57">
        <v>-62599</v>
      </c>
      <c r="O34" s="57">
        <v>-71122</v>
      </c>
      <c r="P34" s="57">
        <v>-88492</v>
      </c>
      <c r="Q34" s="57">
        <v>-85868</v>
      </c>
      <c r="R34" s="57">
        <v>-91585</v>
      </c>
      <c r="S34" s="57">
        <v>-89569</v>
      </c>
      <c r="T34" s="57">
        <v>-87538</v>
      </c>
      <c r="U34" s="57">
        <v>-93500</v>
      </c>
      <c r="V34" s="57">
        <v>-92371</v>
      </c>
      <c r="W34" s="57">
        <f>SUM(W35:W36)</f>
        <v>-74284</v>
      </c>
      <c r="X34" s="57">
        <f>SUM(X35:X36)</f>
        <v>-55573</v>
      </c>
      <c r="Y34" s="57">
        <v>-36236</v>
      </c>
      <c r="Z34" s="57">
        <f t="shared" ref="Z34:AE34" si="18">SUM(Z35:Z36)</f>
        <v>-33682</v>
      </c>
      <c r="AA34" s="57">
        <f t="shared" si="18"/>
        <v>-42664</v>
      </c>
      <c r="AB34" s="57">
        <f t="shared" si="18"/>
        <v>-26348</v>
      </c>
      <c r="AC34" s="57">
        <f t="shared" si="18"/>
        <v>-24831</v>
      </c>
      <c r="AD34" s="57">
        <f t="shared" si="18"/>
        <v>-37531</v>
      </c>
      <c r="AE34" s="57">
        <f t="shared" si="18"/>
        <v>-130994</v>
      </c>
      <c r="AF34" s="57">
        <f t="shared" ref="AF34:AG34" si="19">SUM(AF35:AF36)</f>
        <v>-255688</v>
      </c>
      <c r="AG34" s="57">
        <f t="shared" si="19"/>
        <v>-340189</v>
      </c>
      <c r="AH34" s="57">
        <v>-362383</v>
      </c>
      <c r="AI34" s="57">
        <f>SUM(AI35:AI36)</f>
        <v>-381580</v>
      </c>
      <c r="AJ34" s="57">
        <f>SUM(AJ35:AJ36)</f>
        <v>-348471</v>
      </c>
      <c r="AK34" s="57">
        <f>SUM(AK35:AK36)</f>
        <v>-343768</v>
      </c>
      <c r="AL34" s="57">
        <f>SUM(AL35:AL36)</f>
        <v>-262328</v>
      </c>
      <c r="AM34" s="57">
        <f>SUM(AM35:AM36)</f>
        <v>-236503</v>
      </c>
    </row>
    <row r="35" spans="1:39" ht="13" customHeight="1">
      <c r="A35" s="5" t="s">
        <v>236</v>
      </c>
      <c r="B35" s="5" t="s">
        <v>73</v>
      </c>
      <c r="C35" s="52">
        <v>-10964</v>
      </c>
      <c r="D35" s="52">
        <v>-10306</v>
      </c>
      <c r="E35" s="52">
        <v>-8782</v>
      </c>
      <c r="F35" s="52">
        <v>-7839</v>
      </c>
      <c r="G35" s="52">
        <v>-7621</v>
      </c>
      <c r="H35" s="52">
        <v>-8391</v>
      </c>
      <c r="I35" s="52">
        <v>-11024</v>
      </c>
      <c r="J35" s="52">
        <v>-21366</v>
      </c>
      <c r="K35" s="52">
        <v>-24479</v>
      </c>
      <c r="L35" s="52">
        <v>-26108</v>
      </c>
      <c r="M35" s="52">
        <v>-28681</v>
      </c>
      <c r="N35" s="52">
        <v>-42104</v>
      </c>
      <c r="O35" s="52">
        <v>-45110</v>
      </c>
      <c r="P35" s="60">
        <v>-46479</v>
      </c>
      <c r="Q35" s="60">
        <v>-58092</v>
      </c>
      <c r="R35" s="52">
        <v>-65104</v>
      </c>
      <c r="S35" s="52">
        <v>-66053</v>
      </c>
      <c r="T35" s="52">
        <v>-64506</v>
      </c>
      <c r="U35" s="52">
        <v>-62693</v>
      </c>
      <c r="V35" s="52">
        <v>-64888</v>
      </c>
      <c r="W35" s="52">
        <v>-63836</v>
      </c>
      <c r="X35" s="52">
        <v>-40349</v>
      </c>
      <c r="Y35" s="52">
        <v>-14695</v>
      </c>
      <c r="Z35" s="52">
        <v>-7086</v>
      </c>
      <c r="AA35" s="52">
        <v>-6461</v>
      </c>
      <c r="AB35" s="52">
        <v>-4163</v>
      </c>
      <c r="AC35" s="52">
        <v>-3686</v>
      </c>
      <c r="AD35" s="52">
        <v>-17610</v>
      </c>
      <c r="AE35" s="52">
        <v>-41742</v>
      </c>
      <c r="AF35" s="52">
        <v>-67037</v>
      </c>
      <c r="AG35" s="52">
        <v>-77710</v>
      </c>
      <c r="AH35" s="52">
        <v>-94345</v>
      </c>
      <c r="AI35" s="52">
        <v>-111910</v>
      </c>
      <c r="AJ35" s="52">
        <v>-93501</v>
      </c>
      <c r="AK35" s="52">
        <v>-102039</v>
      </c>
      <c r="AL35" s="52">
        <v>-99402</v>
      </c>
      <c r="AM35" s="52">
        <v>-94826</v>
      </c>
    </row>
    <row r="36" spans="1:39" ht="13" customHeight="1">
      <c r="A36" s="5" t="s">
        <v>229</v>
      </c>
      <c r="B36" s="5" t="s">
        <v>76</v>
      </c>
      <c r="C36" s="52">
        <v>-87992</v>
      </c>
      <c r="D36" s="52">
        <v>-96641</v>
      </c>
      <c r="E36" s="52">
        <v>-95358</v>
      </c>
      <c r="F36" s="52">
        <v>-91084</v>
      </c>
      <c r="G36" s="52">
        <v>-18440</v>
      </c>
      <c r="H36" s="52">
        <v>-18460</v>
      </c>
      <c r="I36" s="52">
        <v>-21302</v>
      </c>
      <c r="J36" s="52">
        <v>-46458</v>
      </c>
      <c r="K36" s="52">
        <v>-58612</v>
      </c>
      <c r="L36" s="52">
        <v>-29236</v>
      </c>
      <c r="M36" s="52">
        <v>-19462</v>
      </c>
      <c r="N36" s="52">
        <v>-20495</v>
      </c>
      <c r="O36" s="52">
        <v>-26012</v>
      </c>
      <c r="P36" s="52">
        <v>-42013</v>
      </c>
      <c r="Q36" s="52">
        <v>-27776</v>
      </c>
      <c r="R36" s="52">
        <v>-26481</v>
      </c>
      <c r="S36" s="52">
        <v>-23516</v>
      </c>
      <c r="T36" s="52">
        <v>-23032</v>
      </c>
      <c r="U36" s="52">
        <v>-30807</v>
      </c>
      <c r="V36" s="52">
        <v>-27483</v>
      </c>
      <c r="W36" s="52">
        <v>-10448</v>
      </c>
      <c r="X36" s="52">
        <v>-15224</v>
      </c>
      <c r="Y36" s="52">
        <v>-21541</v>
      </c>
      <c r="Z36" s="52">
        <v>-26596</v>
      </c>
      <c r="AA36" s="52">
        <v>-36203</v>
      </c>
      <c r="AB36" s="52">
        <v>-22185</v>
      </c>
      <c r="AC36" s="52">
        <v>-21145</v>
      </c>
      <c r="AD36" s="52">
        <v>-19921</v>
      </c>
      <c r="AE36" s="52">
        <v>-89252</v>
      </c>
      <c r="AF36" s="52">
        <v>-188651</v>
      </c>
      <c r="AG36" s="52">
        <v>-262479</v>
      </c>
      <c r="AH36" s="52">
        <v>-268038</v>
      </c>
      <c r="AI36" s="52">
        <v>-269670</v>
      </c>
      <c r="AJ36" s="52">
        <v>-254970</v>
      </c>
      <c r="AK36" s="52">
        <v>-241729</v>
      </c>
      <c r="AL36" s="52">
        <v>-162926</v>
      </c>
      <c r="AM36" s="52">
        <v>-141677</v>
      </c>
    </row>
    <row r="37" spans="1:39" ht="13" customHeight="1" thickBot="1">
      <c r="A37" s="27" t="s">
        <v>198</v>
      </c>
      <c r="B37" s="27" t="s">
        <v>1</v>
      </c>
      <c r="C37" s="30">
        <f t="shared" ref="C37:N37" si="20">C3+C26</f>
        <v>344304</v>
      </c>
      <c r="D37" s="30">
        <f t="shared" si="20"/>
        <v>373410</v>
      </c>
      <c r="E37" s="30">
        <f t="shared" si="20"/>
        <v>383724</v>
      </c>
      <c r="F37" s="30">
        <f t="shared" si="20"/>
        <v>399575</v>
      </c>
      <c r="G37" s="30">
        <f t="shared" si="20"/>
        <v>412494</v>
      </c>
      <c r="H37" s="30">
        <f t="shared" si="20"/>
        <v>444173</v>
      </c>
      <c r="I37" s="30">
        <f t="shared" si="20"/>
        <v>490510</v>
      </c>
      <c r="J37" s="30">
        <f t="shared" si="20"/>
        <v>598872</v>
      </c>
      <c r="K37" s="30">
        <f t="shared" si="20"/>
        <v>663013</v>
      </c>
      <c r="L37" s="30">
        <f t="shared" si="20"/>
        <v>722655</v>
      </c>
      <c r="M37" s="30">
        <f t="shared" si="20"/>
        <v>728128</v>
      </c>
      <c r="N37" s="30">
        <f t="shared" si="20"/>
        <v>742345</v>
      </c>
      <c r="O37" s="30">
        <f>O3+O22+O26</f>
        <v>740859</v>
      </c>
      <c r="P37" s="30">
        <f>P3+P22+P26</f>
        <v>766476</v>
      </c>
      <c r="Q37" s="30">
        <f>Q3+Q22+Q26</f>
        <v>785912</v>
      </c>
      <c r="R37" s="30">
        <f t="shared" ref="R37:X37" si="21">R3+R22+R26</f>
        <v>791277</v>
      </c>
      <c r="S37" s="30">
        <f t="shared" si="21"/>
        <v>803807</v>
      </c>
      <c r="T37" s="30">
        <f t="shared" si="21"/>
        <v>829175</v>
      </c>
      <c r="U37" s="30">
        <f t="shared" si="21"/>
        <v>803011</v>
      </c>
      <c r="V37" s="30">
        <f t="shared" si="21"/>
        <v>748351</v>
      </c>
      <c r="W37" s="30">
        <f t="shared" si="21"/>
        <v>776884</v>
      </c>
      <c r="X37" s="30">
        <f t="shared" si="21"/>
        <v>721981</v>
      </c>
      <c r="Y37" s="30">
        <v>683115</v>
      </c>
      <c r="Z37" s="30">
        <f t="shared" ref="Z37:AE37" si="22">Z3+Z22+Z26</f>
        <v>666746</v>
      </c>
      <c r="AA37" s="30">
        <f t="shared" si="22"/>
        <v>670178</v>
      </c>
      <c r="AB37" s="30">
        <f t="shared" si="22"/>
        <v>666659</v>
      </c>
      <c r="AC37" s="30">
        <f t="shared" si="22"/>
        <v>703520</v>
      </c>
      <c r="AD37" s="30">
        <f t="shared" si="22"/>
        <v>757877</v>
      </c>
      <c r="AE37" s="30">
        <f t="shared" si="22"/>
        <v>862351</v>
      </c>
      <c r="AF37" s="30">
        <f t="shared" ref="AF37:AG37" si="23">AF3+AF22+AF26</f>
        <v>971761</v>
      </c>
      <c r="AG37" s="30">
        <f t="shared" si="23"/>
        <v>586675</v>
      </c>
      <c r="AH37" s="30">
        <f>AH3+AH22+AH26</f>
        <v>1139084</v>
      </c>
      <c r="AI37" s="30">
        <f t="shared" ref="AI37:AJ37" si="24">AI3+AI22+AI26</f>
        <v>1103062</v>
      </c>
      <c r="AJ37" s="30">
        <f t="shared" si="24"/>
        <v>1160879</v>
      </c>
      <c r="AK37" s="30">
        <f t="shared" ref="AK37" si="25">AK3+AK22+AK26</f>
        <v>1219237</v>
      </c>
      <c r="AL37" s="30">
        <f t="shared" ref="AL37" si="26">AL3+AL22+AL26</f>
        <v>1289192</v>
      </c>
      <c r="AM37" s="30">
        <f>AM3+AM22+AM26</f>
        <v>1269409</v>
      </c>
    </row>
    <row r="38" spans="1:39"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9"/>
      <c r="W38" s="47"/>
      <c r="AA38" s="9"/>
      <c r="AB38" s="9"/>
      <c r="AC38" s="9"/>
      <c r="AD38" s="9"/>
      <c r="AF38" s="9"/>
      <c r="AG38" s="9"/>
    </row>
    <row r="39" spans="1:39"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X39" s="110"/>
      <c r="Y39" s="110"/>
      <c r="Z39" s="109"/>
      <c r="AA39" s="9"/>
      <c r="AB39" s="9"/>
      <c r="AC39" s="9"/>
      <c r="AD39" s="9"/>
      <c r="AF39" s="9"/>
      <c r="AG39" s="9"/>
    </row>
    <row r="40" spans="1:39"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AA40" s="9"/>
      <c r="AB40" s="9"/>
      <c r="AC40" s="9"/>
      <c r="AD40" s="9"/>
      <c r="AF40" s="9"/>
      <c r="AG40" s="9"/>
    </row>
    <row r="41" spans="1:39">
      <c r="S41" s="9"/>
      <c r="AA41" s="9"/>
      <c r="AB41" s="9"/>
      <c r="AC41" s="9"/>
      <c r="AD41" s="9"/>
      <c r="AF41" s="9"/>
      <c r="AG41" s="9"/>
    </row>
    <row r="42" spans="1:39">
      <c r="S42" s="9"/>
      <c r="AA42" s="9"/>
      <c r="AB42" s="9"/>
      <c r="AC42" s="9"/>
      <c r="AD42" s="9"/>
      <c r="AF42" s="9"/>
      <c r="AG42" s="9"/>
    </row>
    <row r="43" spans="1:39">
      <c r="O43" s="110"/>
      <c r="P43" s="110"/>
      <c r="Q43" s="110"/>
      <c r="R43" s="110"/>
      <c r="S43" s="110"/>
      <c r="T43" s="110"/>
      <c r="AA43" s="9"/>
      <c r="AB43" s="9"/>
      <c r="AC43" s="9"/>
      <c r="AD43" s="9"/>
      <c r="AF43" s="9"/>
      <c r="AG43" s="9"/>
    </row>
    <row r="44" spans="1:39">
      <c r="O44" s="109"/>
      <c r="P44" s="109"/>
      <c r="Q44" s="109"/>
      <c r="R44" s="109"/>
      <c r="S44" s="109"/>
      <c r="T44" s="109"/>
      <c r="AA44" s="9"/>
      <c r="AB44" s="9"/>
      <c r="AC44" s="9"/>
      <c r="AD44" s="9"/>
      <c r="AF44" s="9"/>
      <c r="AG44" s="9"/>
    </row>
    <row r="45" spans="1:39">
      <c r="S45" s="9"/>
      <c r="AA45" s="9"/>
      <c r="AB45" s="9"/>
      <c r="AC45" s="9"/>
      <c r="AD45" s="9"/>
      <c r="AF45" s="9"/>
      <c r="AG45" s="9"/>
    </row>
    <row r="46" spans="1:39">
      <c r="O46" s="110"/>
      <c r="P46" s="110"/>
      <c r="Q46" s="110"/>
      <c r="R46" s="110"/>
      <c r="S46" s="110"/>
      <c r="T46" s="110"/>
      <c r="U46" s="9"/>
      <c r="V46" s="9"/>
      <c r="AA46" s="9"/>
    </row>
    <row r="47" spans="1:39">
      <c r="O47" s="109"/>
      <c r="P47" s="109"/>
      <c r="Q47" s="109"/>
      <c r="R47" s="109"/>
      <c r="S47" s="109"/>
      <c r="T47" s="109"/>
      <c r="AA47" s="9"/>
    </row>
    <row r="48" spans="1:39">
      <c r="S48" s="9"/>
      <c r="AA48" s="9"/>
    </row>
    <row r="49" spans="15:27">
      <c r="O49" s="110"/>
      <c r="P49" s="110"/>
      <c r="Q49" s="110"/>
      <c r="R49" s="110"/>
      <c r="S49" s="110"/>
      <c r="T49" s="110"/>
      <c r="AA49" s="9"/>
    </row>
    <row r="50" spans="15:27">
      <c r="O50" s="109"/>
      <c r="P50" s="109"/>
      <c r="Q50" s="109"/>
      <c r="R50" s="109"/>
      <c r="S50" s="109"/>
      <c r="T50" s="109"/>
      <c r="AA50" s="9"/>
    </row>
    <row r="51" spans="15:27">
      <c r="S51" s="9"/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  <row r="119" spans="27:27">
      <c r="AA1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N25"/>
  <sheetViews>
    <sheetView zoomScaleNormal="100" workbookViewId="0">
      <pane xSplit="2" ySplit="2" topLeftCell="AF3" activePane="bottomRight" state="frozen"/>
      <selection sqref="A1:B1048576"/>
      <selection pane="topRight" sqref="A1:B1048576"/>
      <selection pane="bottomLeft" sqref="A1:B1048576"/>
      <selection pane="bottomRight" activeCell="AL14" sqref="AL14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</row>
    <row r="2" spans="1:40" ht="13" customHeight="1">
      <c r="A2" s="87" t="s">
        <v>633</v>
      </c>
      <c r="B2" s="87" t="s">
        <v>8</v>
      </c>
      <c r="C2" s="87" t="s">
        <v>433</v>
      </c>
      <c r="D2" s="87" t="s">
        <v>434</v>
      </c>
      <c r="E2" s="87" t="s">
        <v>435</v>
      </c>
      <c r="F2" s="87" t="s">
        <v>436</v>
      </c>
      <c r="G2" s="87" t="s">
        <v>437</v>
      </c>
      <c r="H2" s="87" t="s">
        <v>438</v>
      </c>
      <c r="I2" s="87" t="s">
        <v>439</v>
      </c>
      <c r="J2" s="87" t="s">
        <v>440</v>
      </c>
      <c r="K2" s="87" t="s">
        <v>441</v>
      </c>
      <c r="L2" s="87" t="s">
        <v>442</v>
      </c>
      <c r="M2" s="87" t="s">
        <v>443</v>
      </c>
      <c r="N2" s="87" t="s">
        <v>444</v>
      </c>
      <c r="O2" s="87" t="s">
        <v>445</v>
      </c>
      <c r="P2" s="87" t="s">
        <v>446</v>
      </c>
      <c r="Q2" s="87" t="s">
        <v>447</v>
      </c>
      <c r="R2" s="87" t="s">
        <v>448</v>
      </c>
      <c r="S2" s="87" t="s">
        <v>449</v>
      </c>
      <c r="T2" s="87" t="s">
        <v>450</v>
      </c>
      <c r="U2" s="87" t="s">
        <v>451</v>
      </c>
      <c r="V2" s="87" t="s">
        <v>452</v>
      </c>
      <c r="W2" s="87" t="s">
        <v>453</v>
      </c>
      <c r="X2" s="87" t="s">
        <v>454</v>
      </c>
      <c r="Y2" s="87" t="s">
        <v>455</v>
      </c>
      <c r="Z2" s="87" t="s">
        <v>456</v>
      </c>
      <c r="AA2" s="87" t="s">
        <v>457</v>
      </c>
      <c r="AB2" s="87" t="s">
        <v>458</v>
      </c>
      <c r="AC2" s="87" t="s">
        <v>459</v>
      </c>
      <c r="AD2" s="87" t="s">
        <v>461</v>
      </c>
      <c r="AE2" s="87" t="s">
        <v>492</v>
      </c>
      <c r="AF2" s="87" t="s">
        <v>494</v>
      </c>
      <c r="AG2" s="87" t="s">
        <v>523</v>
      </c>
      <c r="AH2" s="87" t="s">
        <v>662</v>
      </c>
      <c r="AI2" s="87" t="s">
        <v>672</v>
      </c>
      <c r="AJ2" s="87" t="s">
        <v>678</v>
      </c>
      <c r="AK2" s="87" t="s">
        <v>684</v>
      </c>
      <c r="AL2" s="87" t="s">
        <v>690</v>
      </c>
      <c r="AM2" s="87" t="s">
        <v>696</v>
      </c>
    </row>
    <row r="3" spans="1:40" s="31" customFormat="1" ht="13" customHeight="1">
      <c r="A3" s="88" t="s">
        <v>592</v>
      </c>
      <c r="B3" s="88" t="s">
        <v>578</v>
      </c>
      <c r="C3" s="134">
        <f>SUM(C4:C12)</f>
        <v>19226</v>
      </c>
      <c r="D3" s="134">
        <f t="shared" ref="D3:AH3" si="0">SUM(D4:D12)</f>
        <v>31821</v>
      </c>
      <c r="E3" s="134">
        <f t="shared" si="0"/>
        <v>17143</v>
      </c>
      <c r="F3" s="134">
        <f t="shared" si="0"/>
        <v>13694</v>
      </c>
      <c r="G3" s="134">
        <f t="shared" si="0"/>
        <v>15215</v>
      </c>
      <c r="H3" s="134">
        <f t="shared" si="0"/>
        <v>18505</v>
      </c>
      <c r="I3" s="134">
        <f t="shared" si="0"/>
        <v>16342</v>
      </c>
      <c r="J3" s="134">
        <f t="shared" si="0"/>
        <v>63022</v>
      </c>
      <c r="K3" s="134">
        <f t="shared" si="0"/>
        <v>32319</v>
      </c>
      <c r="L3" s="134">
        <f t="shared" si="0"/>
        <v>28055</v>
      </c>
      <c r="M3" s="134">
        <f t="shared" si="0"/>
        <v>27635</v>
      </c>
      <c r="N3" s="134">
        <f t="shared" si="0"/>
        <v>24387</v>
      </c>
      <c r="O3" s="134">
        <f t="shared" si="0"/>
        <v>48955</v>
      </c>
      <c r="P3" s="134">
        <f t="shared" si="0"/>
        <v>25718</v>
      </c>
      <c r="Q3" s="134">
        <f t="shared" si="0"/>
        <v>19887</v>
      </c>
      <c r="R3" s="134">
        <f t="shared" si="0"/>
        <v>32485</v>
      </c>
      <c r="S3" s="134">
        <f t="shared" si="0"/>
        <v>33437</v>
      </c>
      <c r="T3" s="134">
        <f t="shared" si="0"/>
        <v>30783</v>
      </c>
      <c r="U3" s="134">
        <f t="shared" si="0"/>
        <v>36407</v>
      </c>
      <c r="V3" s="134">
        <f t="shared" si="0"/>
        <v>42839</v>
      </c>
      <c r="W3" s="134">
        <f t="shared" si="0"/>
        <v>41615</v>
      </c>
      <c r="X3" s="134">
        <f t="shared" si="0"/>
        <v>26601</v>
      </c>
      <c r="Y3" s="134">
        <f t="shared" si="0"/>
        <v>31438</v>
      </c>
      <c r="Z3" s="134">
        <f t="shared" si="0"/>
        <v>37385</v>
      </c>
      <c r="AA3" s="134">
        <f t="shared" si="0"/>
        <v>47087</v>
      </c>
      <c r="AB3" s="134">
        <f t="shared" si="0"/>
        <v>30166</v>
      </c>
      <c r="AC3" s="134">
        <f t="shared" si="0"/>
        <v>34892</v>
      </c>
      <c r="AD3" s="134">
        <f t="shared" si="0"/>
        <v>35342</v>
      </c>
      <c r="AE3" s="134">
        <f t="shared" si="0"/>
        <v>31536</v>
      </c>
      <c r="AF3" s="134">
        <f t="shared" si="0"/>
        <v>30456</v>
      </c>
      <c r="AG3" s="134">
        <f t="shared" si="0"/>
        <v>24663</v>
      </c>
      <c r="AH3" s="134">
        <f t="shared" si="0"/>
        <v>33057</v>
      </c>
      <c r="AI3" s="134">
        <f t="shared" ref="AI3:AJ3" si="1">SUM(AI4:AI12)</f>
        <v>28703</v>
      </c>
      <c r="AJ3" s="134">
        <f t="shared" si="1"/>
        <v>31556</v>
      </c>
      <c r="AK3" s="134">
        <f t="shared" ref="AK3:AL3" si="2">SUM(AK4:AK12)</f>
        <v>31643</v>
      </c>
      <c r="AL3" s="134">
        <f t="shared" si="2"/>
        <v>56926</v>
      </c>
      <c r="AM3" s="134">
        <f>SUM(AM4:AM12)</f>
        <v>34629</v>
      </c>
      <c r="AN3" s="29"/>
    </row>
    <row r="4" spans="1:40" ht="13" customHeight="1">
      <c r="A4" s="90" t="s">
        <v>593</v>
      </c>
      <c r="B4" s="90" t="s">
        <v>579</v>
      </c>
      <c r="C4" s="55" t="s">
        <v>97</v>
      </c>
      <c r="D4" s="55" t="s">
        <v>97</v>
      </c>
      <c r="E4" s="55" t="s">
        <v>97</v>
      </c>
      <c r="F4" s="55" t="s">
        <v>97</v>
      </c>
      <c r="G4" s="55" t="s">
        <v>97</v>
      </c>
      <c r="H4" s="55" t="s">
        <v>97</v>
      </c>
      <c r="I4" s="55" t="s">
        <v>97</v>
      </c>
      <c r="J4" s="55" t="s">
        <v>97</v>
      </c>
      <c r="K4" s="135">
        <v>0</v>
      </c>
      <c r="L4" s="135">
        <v>0</v>
      </c>
      <c r="M4" s="135">
        <v>0</v>
      </c>
      <c r="N4" s="135">
        <v>0</v>
      </c>
      <c r="O4" s="135">
        <v>10253</v>
      </c>
      <c r="P4" s="135">
        <v>14797</v>
      </c>
      <c r="Q4" s="135">
        <v>10851</v>
      </c>
      <c r="R4" s="135">
        <v>6436</v>
      </c>
      <c r="S4" s="42">
        <v>9840</v>
      </c>
      <c r="T4" s="42">
        <v>10753</v>
      </c>
      <c r="U4" s="42">
        <v>9614</v>
      </c>
      <c r="V4" s="42">
        <v>11008</v>
      </c>
      <c r="W4" s="42">
        <v>11526</v>
      </c>
      <c r="X4" s="42">
        <v>9682</v>
      </c>
      <c r="Y4" s="42">
        <v>12039</v>
      </c>
      <c r="Z4" s="42">
        <v>10010</v>
      </c>
      <c r="AA4" s="42">
        <v>12320</v>
      </c>
      <c r="AB4" s="42">
        <v>8807</v>
      </c>
      <c r="AC4" s="42">
        <v>11522</v>
      </c>
      <c r="AD4" s="42">
        <v>11443</v>
      </c>
      <c r="AE4" s="42">
        <v>10019</v>
      </c>
      <c r="AF4" s="91">
        <v>5758</v>
      </c>
      <c r="AG4" s="91">
        <v>2877</v>
      </c>
      <c r="AH4" s="91">
        <v>1699</v>
      </c>
      <c r="AI4" s="91">
        <v>2100</v>
      </c>
      <c r="AJ4" s="91">
        <v>1674</v>
      </c>
      <c r="AK4" s="91">
        <v>2620</v>
      </c>
      <c r="AL4" s="91">
        <v>759</v>
      </c>
      <c r="AM4" s="91">
        <v>1653</v>
      </c>
      <c r="AN4" s="29"/>
    </row>
    <row r="5" spans="1:40" ht="13" customHeight="1">
      <c r="A5" s="90" t="s">
        <v>594</v>
      </c>
      <c r="B5" s="90" t="s">
        <v>580</v>
      </c>
      <c r="C5" s="55" t="s">
        <v>97</v>
      </c>
      <c r="D5" s="55" t="s">
        <v>97</v>
      </c>
      <c r="E5" s="55" t="s">
        <v>97</v>
      </c>
      <c r="F5" s="55" t="s">
        <v>97</v>
      </c>
      <c r="G5" s="55" t="s">
        <v>97</v>
      </c>
      <c r="H5" s="55" t="s">
        <v>97</v>
      </c>
      <c r="I5" s="55" t="s">
        <v>97</v>
      </c>
      <c r="J5" s="55" t="s">
        <v>97</v>
      </c>
      <c r="K5" s="135">
        <v>0</v>
      </c>
      <c r="L5" s="135">
        <v>0</v>
      </c>
      <c r="M5" s="135">
        <v>0</v>
      </c>
      <c r="N5" s="135">
        <v>0</v>
      </c>
      <c r="O5" s="135">
        <v>3745</v>
      </c>
      <c r="P5" s="135">
        <v>4203</v>
      </c>
      <c r="Q5" s="135">
        <v>7354</v>
      </c>
      <c r="R5" s="135">
        <v>19740</v>
      </c>
      <c r="S5" s="93">
        <v>7833</v>
      </c>
      <c r="T5" s="93">
        <v>7523</v>
      </c>
      <c r="U5" s="93">
        <v>6831</v>
      </c>
      <c r="V5" s="42">
        <v>7744</v>
      </c>
      <c r="W5" s="93">
        <v>8462</v>
      </c>
      <c r="X5" s="93">
        <v>9446</v>
      </c>
      <c r="Y5" s="93">
        <v>5286</v>
      </c>
      <c r="Z5" s="42">
        <v>6251</v>
      </c>
      <c r="AA5" s="93">
        <v>6104</v>
      </c>
      <c r="AB5" s="93">
        <v>5836</v>
      </c>
      <c r="AC5" s="93">
        <v>5403</v>
      </c>
      <c r="AD5" s="42">
        <v>6930</v>
      </c>
      <c r="AE5" s="92">
        <v>5777</v>
      </c>
      <c r="AF5" s="91">
        <v>10131</v>
      </c>
      <c r="AG5" s="91">
        <v>6906</v>
      </c>
      <c r="AH5" s="91">
        <v>15536</v>
      </c>
      <c r="AI5" s="91">
        <v>8980</v>
      </c>
      <c r="AJ5" s="91">
        <v>10886</v>
      </c>
      <c r="AK5" s="91">
        <v>8998</v>
      </c>
      <c r="AL5" s="91">
        <v>9525</v>
      </c>
      <c r="AM5" s="91">
        <v>8729</v>
      </c>
      <c r="AN5" s="29"/>
    </row>
    <row r="6" spans="1:40" ht="13" customHeight="1">
      <c r="A6" s="90" t="s">
        <v>595</v>
      </c>
      <c r="B6" s="90" t="s">
        <v>581</v>
      </c>
      <c r="C6" s="136">
        <v>38</v>
      </c>
      <c r="D6" s="136">
        <v>158</v>
      </c>
      <c r="E6" s="136">
        <v>447</v>
      </c>
      <c r="F6" s="136">
        <v>4341</v>
      </c>
      <c r="G6" s="136">
        <v>880</v>
      </c>
      <c r="H6" s="136">
        <v>495</v>
      </c>
      <c r="I6" s="136">
        <v>246</v>
      </c>
      <c r="J6" s="136">
        <v>645</v>
      </c>
      <c r="K6" s="136">
        <v>396</v>
      </c>
      <c r="L6" s="136">
        <v>712</v>
      </c>
      <c r="M6" s="135">
        <v>783</v>
      </c>
      <c r="N6" s="136">
        <v>4843</v>
      </c>
      <c r="O6" s="135">
        <v>1939</v>
      </c>
      <c r="P6" s="135">
        <v>2306</v>
      </c>
      <c r="Q6" s="135">
        <v>1152</v>
      </c>
      <c r="R6" s="136">
        <v>2102</v>
      </c>
      <c r="S6" s="93">
        <v>7201</v>
      </c>
      <c r="T6" s="93">
        <v>2947</v>
      </c>
      <c r="U6" s="93">
        <v>779</v>
      </c>
      <c r="V6" s="42">
        <v>-3360</v>
      </c>
      <c r="W6" s="93">
        <v>499</v>
      </c>
      <c r="X6" s="93">
        <v>355</v>
      </c>
      <c r="Y6" s="93">
        <v>1025</v>
      </c>
      <c r="Z6" s="42">
        <v>208</v>
      </c>
      <c r="AA6" s="93">
        <v>177</v>
      </c>
      <c r="AB6" s="93">
        <v>281</v>
      </c>
      <c r="AC6" s="93">
        <v>692</v>
      </c>
      <c r="AD6" s="42">
        <v>346</v>
      </c>
      <c r="AE6" s="93">
        <v>299</v>
      </c>
      <c r="AF6" s="90">
        <v>290</v>
      </c>
      <c r="AG6" s="90">
        <v>257</v>
      </c>
      <c r="AH6" s="90">
        <v>222</v>
      </c>
      <c r="AI6" s="90">
        <v>269</v>
      </c>
      <c r="AJ6" s="90">
        <v>381</v>
      </c>
      <c r="AK6" s="90">
        <v>156</v>
      </c>
      <c r="AL6" s="91">
        <v>2409</v>
      </c>
      <c r="AM6" s="91">
        <v>152</v>
      </c>
      <c r="AN6" s="29"/>
    </row>
    <row r="7" spans="1:40" ht="13" customHeight="1">
      <c r="A7" s="90" t="s">
        <v>596</v>
      </c>
      <c r="B7" s="90" t="s">
        <v>582</v>
      </c>
      <c r="C7" s="135">
        <v>1386</v>
      </c>
      <c r="D7" s="135">
        <v>1862</v>
      </c>
      <c r="E7" s="135">
        <v>2988</v>
      </c>
      <c r="F7" s="135">
        <v>3762</v>
      </c>
      <c r="G7" s="135">
        <v>2996</v>
      </c>
      <c r="H7" s="135">
        <v>3691</v>
      </c>
      <c r="I7" s="135">
        <v>3537</v>
      </c>
      <c r="J7" s="135">
        <v>5896</v>
      </c>
      <c r="K7" s="135">
        <v>4432</v>
      </c>
      <c r="L7" s="135">
        <v>5338</v>
      </c>
      <c r="M7" s="135">
        <v>6629</v>
      </c>
      <c r="N7" s="135">
        <v>7108</v>
      </c>
      <c r="O7" s="135">
        <v>5640</v>
      </c>
      <c r="P7" s="135">
        <v>3852</v>
      </c>
      <c r="Q7" s="135">
        <v>4979</v>
      </c>
      <c r="R7" s="135">
        <v>3589</v>
      </c>
      <c r="S7" s="132">
        <v>4676</v>
      </c>
      <c r="T7" s="132">
        <v>5462</v>
      </c>
      <c r="U7" s="132">
        <v>4479</v>
      </c>
      <c r="V7" s="42">
        <v>4331</v>
      </c>
      <c r="W7" s="132">
        <v>4908</v>
      </c>
      <c r="X7" s="132">
        <v>3025</v>
      </c>
      <c r="Y7" s="132">
        <v>3956</v>
      </c>
      <c r="Z7" s="42">
        <v>5146</v>
      </c>
      <c r="AA7" s="93">
        <v>5117</v>
      </c>
      <c r="AB7" s="132">
        <v>6121</v>
      </c>
      <c r="AC7" s="93">
        <v>6231</v>
      </c>
      <c r="AD7" s="42">
        <v>7322</v>
      </c>
      <c r="AE7" s="93">
        <v>5308</v>
      </c>
      <c r="AF7" s="91">
        <v>5999</v>
      </c>
      <c r="AG7" s="91">
        <v>4795</v>
      </c>
      <c r="AH7" s="91">
        <v>4600</v>
      </c>
      <c r="AI7" s="91">
        <v>5480</v>
      </c>
      <c r="AJ7" s="91">
        <v>7096</v>
      </c>
      <c r="AK7" s="91">
        <v>6978</v>
      </c>
      <c r="AL7" s="91">
        <v>13412</v>
      </c>
      <c r="AM7" s="91">
        <v>8233</v>
      </c>
      <c r="AN7" s="29"/>
    </row>
    <row r="8" spans="1:40" ht="13" customHeight="1">
      <c r="A8" s="90" t="s">
        <v>597</v>
      </c>
      <c r="B8" s="90" t="s">
        <v>583</v>
      </c>
      <c r="C8" s="55" t="s">
        <v>97</v>
      </c>
      <c r="D8" s="55" t="s">
        <v>97</v>
      </c>
      <c r="E8" s="55" t="s">
        <v>97</v>
      </c>
      <c r="F8" s="55" t="s">
        <v>97</v>
      </c>
      <c r="G8" s="55" t="s">
        <v>97</v>
      </c>
      <c r="H8" s="55" t="s">
        <v>97</v>
      </c>
      <c r="I8" s="55" t="s">
        <v>97</v>
      </c>
      <c r="J8" s="55" t="s">
        <v>97</v>
      </c>
      <c r="K8" s="135">
        <v>0</v>
      </c>
      <c r="L8" s="135">
        <v>0</v>
      </c>
      <c r="M8" s="135">
        <v>0</v>
      </c>
      <c r="N8" s="135">
        <v>0</v>
      </c>
      <c r="O8" s="135">
        <v>1178</v>
      </c>
      <c r="P8" s="135">
        <v>1168</v>
      </c>
      <c r="Q8" s="135">
        <v>1172</v>
      </c>
      <c r="R8" s="135">
        <v>1182</v>
      </c>
      <c r="S8" s="132">
        <v>1183</v>
      </c>
      <c r="T8" s="132">
        <v>1182</v>
      </c>
      <c r="U8" s="132">
        <v>1212</v>
      </c>
      <c r="V8" s="42">
        <v>1214</v>
      </c>
      <c r="W8" s="132">
        <v>794</v>
      </c>
      <c r="X8" s="132">
        <v>0</v>
      </c>
      <c r="Y8" s="132">
        <v>353</v>
      </c>
      <c r="Z8" s="42">
        <v>340</v>
      </c>
      <c r="AA8" s="93">
        <v>0</v>
      </c>
      <c r="AB8" s="132">
        <v>993</v>
      </c>
      <c r="AC8" s="93">
        <v>944</v>
      </c>
      <c r="AD8" s="42">
        <v>911</v>
      </c>
      <c r="AE8" s="93">
        <v>994</v>
      </c>
      <c r="AF8" s="90">
        <v>1009</v>
      </c>
      <c r="AG8" s="90">
        <v>839</v>
      </c>
      <c r="AH8" s="90">
        <v>784</v>
      </c>
      <c r="AI8" s="90">
        <v>783</v>
      </c>
      <c r="AJ8" s="90">
        <v>758</v>
      </c>
      <c r="AK8" s="90">
        <v>747</v>
      </c>
      <c r="AL8" s="91">
        <v>785</v>
      </c>
      <c r="AM8" s="91">
        <v>810</v>
      </c>
      <c r="AN8" s="29"/>
    </row>
    <row r="9" spans="1:40" ht="13" customHeight="1">
      <c r="A9" s="90" t="s">
        <v>666</v>
      </c>
      <c r="B9" s="90" t="s">
        <v>665</v>
      </c>
      <c r="C9" s="55" t="s">
        <v>97</v>
      </c>
      <c r="D9" s="55" t="s">
        <v>97</v>
      </c>
      <c r="E9" s="55" t="s">
        <v>97</v>
      </c>
      <c r="F9" s="55" t="s">
        <v>97</v>
      </c>
      <c r="G9" s="55" t="s">
        <v>97</v>
      </c>
      <c r="H9" s="55" t="s">
        <v>97</v>
      </c>
      <c r="I9" s="55" t="s">
        <v>97</v>
      </c>
      <c r="J9" s="55" t="s">
        <v>97</v>
      </c>
      <c r="K9" s="55" t="s">
        <v>97</v>
      </c>
      <c r="L9" s="55" t="s">
        <v>97</v>
      </c>
      <c r="M9" s="55" t="s">
        <v>97</v>
      </c>
      <c r="N9" s="55" t="s">
        <v>97</v>
      </c>
      <c r="O9" s="55" t="s">
        <v>97</v>
      </c>
      <c r="P9" s="55" t="s">
        <v>97</v>
      </c>
      <c r="Q9" s="55" t="s">
        <v>97</v>
      </c>
      <c r="R9" s="55" t="s">
        <v>97</v>
      </c>
      <c r="S9" s="55" t="s">
        <v>97</v>
      </c>
      <c r="T9" s="55" t="s">
        <v>97</v>
      </c>
      <c r="U9" s="55" t="s">
        <v>97</v>
      </c>
      <c r="V9" s="42">
        <v>7771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5">
        <v>0</v>
      </c>
      <c r="AK9" s="55">
        <v>0</v>
      </c>
      <c r="AL9" s="55">
        <v>0</v>
      </c>
      <c r="AM9" s="55">
        <v>0</v>
      </c>
      <c r="AN9" s="29"/>
    </row>
    <row r="10" spans="1:40" ht="13" customHeight="1">
      <c r="A10" s="90" t="s">
        <v>598</v>
      </c>
      <c r="B10" s="90" t="s">
        <v>584</v>
      </c>
      <c r="C10" s="55" t="s">
        <v>97</v>
      </c>
      <c r="D10" s="55" t="s">
        <v>97</v>
      </c>
      <c r="E10" s="55" t="s">
        <v>97</v>
      </c>
      <c r="F10" s="55" t="s">
        <v>97</v>
      </c>
      <c r="G10" s="55" t="s">
        <v>97</v>
      </c>
      <c r="H10" s="55" t="s">
        <v>97</v>
      </c>
      <c r="I10" s="55" t="s">
        <v>97</v>
      </c>
      <c r="J10" s="55" t="s">
        <v>97</v>
      </c>
      <c r="K10" s="135">
        <v>0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3718</v>
      </c>
      <c r="S10" s="93">
        <v>0</v>
      </c>
      <c r="T10" s="93">
        <v>0</v>
      </c>
      <c r="U10" s="93">
        <v>0</v>
      </c>
      <c r="V10" s="42">
        <v>6129</v>
      </c>
      <c r="W10" s="93">
        <v>0</v>
      </c>
      <c r="X10" s="93">
        <v>0</v>
      </c>
      <c r="Y10" s="93">
        <v>0</v>
      </c>
      <c r="Z10" s="42">
        <v>3187</v>
      </c>
      <c r="AA10" s="93">
        <v>0</v>
      </c>
      <c r="AB10" s="93">
        <v>0</v>
      </c>
      <c r="AC10" s="93">
        <v>0</v>
      </c>
      <c r="AD10" s="42">
        <v>0</v>
      </c>
      <c r="AE10" s="93">
        <v>1786</v>
      </c>
      <c r="AF10" s="90">
        <v>0</v>
      </c>
      <c r="AG10" s="90">
        <v>0</v>
      </c>
      <c r="AH10" s="90">
        <v>394</v>
      </c>
      <c r="AI10" s="90">
        <v>652</v>
      </c>
      <c r="AJ10" s="90">
        <v>1</v>
      </c>
      <c r="AK10" s="90">
        <v>0</v>
      </c>
      <c r="AL10" s="90">
        <v>21</v>
      </c>
      <c r="AM10" s="90">
        <v>101</v>
      </c>
      <c r="AN10" s="29"/>
    </row>
    <row r="11" spans="1:40" ht="16.5" customHeight="1">
      <c r="A11" s="90" t="s">
        <v>599</v>
      </c>
      <c r="B11" s="90" t="s">
        <v>585</v>
      </c>
      <c r="C11" s="55" t="s">
        <v>97</v>
      </c>
      <c r="D11" s="55" t="s">
        <v>97</v>
      </c>
      <c r="E11" s="55" t="s">
        <v>97</v>
      </c>
      <c r="F11" s="55" t="s">
        <v>97</v>
      </c>
      <c r="G11" s="55" t="s">
        <v>97</v>
      </c>
      <c r="H11" s="55" t="s">
        <v>97</v>
      </c>
      <c r="I11" s="55" t="s">
        <v>97</v>
      </c>
      <c r="J11" s="55" t="s">
        <v>97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55">
        <v>0</v>
      </c>
      <c r="T11" s="55">
        <v>0</v>
      </c>
      <c r="U11" s="55">
        <v>0</v>
      </c>
      <c r="V11" s="42">
        <v>5001</v>
      </c>
      <c r="W11" s="132">
        <v>0</v>
      </c>
      <c r="X11" s="132">
        <v>1322</v>
      </c>
      <c r="Y11" s="132">
        <v>5244</v>
      </c>
      <c r="Z11" s="42">
        <v>3653</v>
      </c>
      <c r="AA11" s="93">
        <v>5790</v>
      </c>
      <c r="AB11" s="132">
        <v>926</v>
      </c>
      <c r="AC11" s="93">
        <v>891</v>
      </c>
      <c r="AD11" s="42">
        <v>122</v>
      </c>
      <c r="AE11" s="93">
        <v>893</v>
      </c>
      <c r="AF11" s="91">
        <v>226</v>
      </c>
      <c r="AG11" s="91">
        <v>2379</v>
      </c>
      <c r="AH11" s="91">
        <v>2125</v>
      </c>
      <c r="AI11" s="91">
        <v>940</v>
      </c>
      <c r="AJ11" s="91">
        <v>1118</v>
      </c>
      <c r="AK11" s="91">
        <v>-17</v>
      </c>
      <c r="AL11" s="91">
        <v>396</v>
      </c>
      <c r="AM11" s="91">
        <v>707</v>
      </c>
      <c r="AN11" s="29"/>
    </row>
    <row r="12" spans="1:40" ht="13" customHeight="1">
      <c r="A12" s="90" t="s">
        <v>307</v>
      </c>
      <c r="B12" s="90" t="s">
        <v>66</v>
      </c>
      <c r="C12" s="135">
        <v>17802</v>
      </c>
      <c r="D12" s="135">
        <v>29801</v>
      </c>
      <c r="E12" s="135">
        <v>13708</v>
      </c>
      <c r="F12" s="135">
        <v>5591</v>
      </c>
      <c r="G12" s="135">
        <v>11339</v>
      </c>
      <c r="H12" s="135">
        <v>14319</v>
      </c>
      <c r="I12" s="135">
        <v>12559</v>
      </c>
      <c r="J12" s="135">
        <v>56481</v>
      </c>
      <c r="K12" s="135">
        <v>27491</v>
      </c>
      <c r="L12" s="135">
        <v>22005</v>
      </c>
      <c r="M12" s="135">
        <v>20223</v>
      </c>
      <c r="N12" s="135">
        <v>12436</v>
      </c>
      <c r="O12" s="135">
        <v>26200</v>
      </c>
      <c r="P12" s="135">
        <v>-608</v>
      </c>
      <c r="Q12" s="135">
        <v>-5621</v>
      </c>
      <c r="R12" s="135">
        <v>-4282</v>
      </c>
      <c r="S12" s="132">
        <v>2704</v>
      </c>
      <c r="T12" s="132">
        <v>2916</v>
      </c>
      <c r="U12" s="132">
        <v>13492</v>
      </c>
      <c r="V12" s="42">
        <v>3001</v>
      </c>
      <c r="W12" s="132">
        <v>15426</v>
      </c>
      <c r="X12" s="132">
        <v>2771</v>
      </c>
      <c r="Y12" s="132">
        <v>3535</v>
      </c>
      <c r="Z12" s="42">
        <v>8590</v>
      </c>
      <c r="AA12" s="93">
        <v>17579</v>
      </c>
      <c r="AB12" s="132">
        <v>7202</v>
      </c>
      <c r="AC12" s="93">
        <v>9209</v>
      </c>
      <c r="AD12" s="42">
        <v>8268</v>
      </c>
      <c r="AE12" s="93">
        <v>6460</v>
      </c>
      <c r="AF12" s="91">
        <v>7043</v>
      </c>
      <c r="AG12" s="91">
        <v>6610</v>
      </c>
      <c r="AH12" s="91">
        <v>7697</v>
      </c>
      <c r="AI12" s="91">
        <v>9499</v>
      </c>
      <c r="AJ12" s="91">
        <v>9642</v>
      </c>
      <c r="AK12" s="91">
        <v>12161</v>
      </c>
      <c r="AL12" s="91">
        <v>29619</v>
      </c>
      <c r="AM12" s="91">
        <v>14244</v>
      </c>
      <c r="AN12" s="29"/>
    </row>
    <row r="13" spans="1:40" ht="13" customHeight="1">
      <c r="A13" s="88" t="s">
        <v>600</v>
      </c>
      <c r="B13" s="88" t="s">
        <v>586</v>
      </c>
      <c r="C13" s="94">
        <f t="shared" ref="C13:S13" si="3">SUM(C14:C22)</f>
        <v>-5813</v>
      </c>
      <c r="D13" s="94">
        <f t="shared" si="3"/>
        <v>-21530</v>
      </c>
      <c r="E13" s="94">
        <f t="shared" si="3"/>
        <v>-765</v>
      </c>
      <c r="F13" s="94">
        <f t="shared" si="3"/>
        <v>-2120</v>
      </c>
      <c r="G13" s="94">
        <f t="shared" si="3"/>
        <v>-4604</v>
      </c>
      <c r="H13" s="94">
        <f t="shared" si="3"/>
        <v>-18458</v>
      </c>
      <c r="I13" s="94">
        <f t="shared" si="3"/>
        <v>-13039</v>
      </c>
      <c r="J13" s="94">
        <f t="shared" si="3"/>
        <v>-15964</v>
      </c>
      <c r="K13" s="94">
        <f t="shared" si="3"/>
        <v>-15595</v>
      </c>
      <c r="L13" s="94">
        <f t="shared" si="3"/>
        <v>-17066</v>
      </c>
      <c r="M13" s="94">
        <f t="shared" si="3"/>
        <v>-22202</v>
      </c>
      <c r="N13" s="94">
        <f t="shared" si="3"/>
        <v>-31052</v>
      </c>
      <c r="O13" s="94">
        <f t="shared" si="3"/>
        <v>-20297</v>
      </c>
      <c r="P13" s="94">
        <f t="shared" si="3"/>
        <v>-25884</v>
      </c>
      <c r="Q13" s="94">
        <f t="shared" si="3"/>
        <v>-35837</v>
      </c>
      <c r="R13" s="94">
        <f t="shared" si="3"/>
        <v>-59789</v>
      </c>
      <c r="S13" s="94">
        <f t="shared" si="3"/>
        <v>-20944</v>
      </c>
      <c r="T13" s="94">
        <f t="shared" ref="T13:Z13" si="4">SUM(T14:T22)</f>
        <v>-27057</v>
      </c>
      <c r="U13" s="94">
        <f t="shared" si="4"/>
        <v>-76931</v>
      </c>
      <c r="V13" s="94">
        <f t="shared" si="4"/>
        <v>-220673</v>
      </c>
      <c r="W13" s="94">
        <f t="shared" si="4"/>
        <v>-34194</v>
      </c>
      <c r="X13" s="94">
        <f t="shared" si="4"/>
        <v>-124454</v>
      </c>
      <c r="Y13" s="94">
        <f t="shared" si="4"/>
        <v>-20573</v>
      </c>
      <c r="Z13" s="94">
        <f t="shared" si="4"/>
        <v>-61225</v>
      </c>
      <c r="AA13" s="94">
        <f t="shared" ref="AA13:AH13" si="5">SUM(AA14:AA22)</f>
        <v>-22624</v>
      </c>
      <c r="AB13" s="94">
        <f t="shared" si="5"/>
        <v>-24243</v>
      </c>
      <c r="AC13" s="94">
        <f t="shared" si="5"/>
        <v>-41423</v>
      </c>
      <c r="AD13" s="94">
        <f t="shared" si="5"/>
        <v>-80032</v>
      </c>
      <c r="AE13" s="94">
        <f t="shared" si="5"/>
        <v>-29621</v>
      </c>
      <c r="AF13" s="94">
        <f t="shared" si="5"/>
        <v>-20470</v>
      </c>
      <c r="AG13" s="94">
        <f t="shared" si="5"/>
        <v>-27469</v>
      </c>
      <c r="AH13" s="94">
        <f t="shared" si="5"/>
        <v>-51650</v>
      </c>
      <c r="AI13" s="94">
        <f t="shared" ref="AI13:AJ13" si="6">SUM(AI14:AI22)</f>
        <v>-27697</v>
      </c>
      <c r="AJ13" s="94">
        <f t="shared" si="6"/>
        <v>-31315</v>
      </c>
      <c r="AK13" s="94">
        <f>SUM(AK14:AK22)</f>
        <v>-27683</v>
      </c>
      <c r="AL13" s="94">
        <f>SUM(AL14:AL22)</f>
        <v>-117420</v>
      </c>
      <c r="AM13" s="94">
        <f>SUM(AM14:AM22)</f>
        <v>-28875</v>
      </c>
      <c r="AN13" s="29"/>
    </row>
    <row r="14" spans="1:40" ht="13" customHeight="1">
      <c r="A14" s="90" t="s">
        <v>221</v>
      </c>
      <c r="B14" s="90" t="s">
        <v>150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-57175</v>
      </c>
      <c r="V14" s="42">
        <v>-185924</v>
      </c>
      <c r="W14" s="93">
        <v>0</v>
      </c>
      <c r="X14" s="93">
        <v>-98528</v>
      </c>
      <c r="Y14" s="93">
        <v>0</v>
      </c>
      <c r="Z14" s="42">
        <v>-35244</v>
      </c>
      <c r="AA14" s="93">
        <v>0</v>
      </c>
      <c r="AB14" s="93">
        <v>0</v>
      </c>
      <c r="AC14" s="93">
        <v>-16800</v>
      </c>
      <c r="AD14" s="42">
        <v>-44789</v>
      </c>
      <c r="AE14" s="93">
        <v>-8692</v>
      </c>
      <c r="AF14" s="93">
        <v>1053</v>
      </c>
      <c r="AG14" s="91">
        <v>549</v>
      </c>
      <c r="AH14" s="91">
        <v>-14500</v>
      </c>
      <c r="AI14" s="91">
        <v>0</v>
      </c>
      <c r="AJ14" s="91">
        <v>-126</v>
      </c>
      <c r="AK14" s="91">
        <v>-108</v>
      </c>
      <c r="AL14" s="91">
        <v>60</v>
      </c>
      <c r="AM14" s="55" t="s">
        <v>97</v>
      </c>
      <c r="AN14" s="29"/>
    </row>
    <row r="15" spans="1:40" ht="13" customHeight="1">
      <c r="A15" s="90" t="s">
        <v>601</v>
      </c>
      <c r="B15" s="90" t="s">
        <v>587</v>
      </c>
      <c r="C15" s="93">
        <v>-2206</v>
      </c>
      <c r="D15" s="93">
        <v>-2635</v>
      </c>
      <c r="E15" s="93">
        <v>-2094</v>
      </c>
      <c r="F15" s="93">
        <v>-1521</v>
      </c>
      <c r="G15" s="93">
        <v>-1862</v>
      </c>
      <c r="H15" s="93">
        <v>-3218</v>
      </c>
      <c r="I15" s="93">
        <v>-6659</v>
      </c>
      <c r="J15" s="93">
        <v>-6762</v>
      </c>
      <c r="K15" s="93">
        <v>-7571</v>
      </c>
      <c r="L15" s="93">
        <v>-6928</v>
      </c>
      <c r="M15" s="93">
        <v>-5267</v>
      </c>
      <c r="N15" s="93">
        <v>-8627</v>
      </c>
      <c r="O15" s="93">
        <v>-8776</v>
      </c>
      <c r="P15" s="93">
        <v>-16718</v>
      </c>
      <c r="Q15" s="93">
        <v>-12871</v>
      </c>
      <c r="R15" s="93">
        <v>-11824</v>
      </c>
      <c r="S15" s="132">
        <v>-12735</v>
      </c>
      <c r="T15" s="93">
        <v>-13361</v>
      </c>
      <c r="U15" s="93">
        <v>-19799</v>
      </c>
      <c r="V15" s="42">
        <v>-21296</v>
      </c>
      <c r="W15" s="93">
        <v>-22008</v>
      </c>
      <c r="X15" s="93">
        <v>-12594</v>
      </c>
      <c r="Y15" s="93">
        <v>-13511</v>
      </c>
      <c r="Z15" s="42">
        <v>-15493</v>
      </c>
      <c r="AA15" s="93">
        <v>-15797</v>
      </c>
      <c r="AB15" s="93">
        <v>-16476</v>
      </c>
      <c r="AC15" s="93">
        <v>-17662</v>
      </c>
      <c r="AD15" s="42">
        <v>-18276</v>
      </c>
      <c r="AE15" s="93">
        <v>-13464</v>
      </c>
      <c r="AF15" s="93">
        <v>-11312</v>
      </c>
      <c r="AG15" s="91">
        <v>-11362</v>
      </c>
      <c r="AH15" s="91">
        <v>-14084</v>
      </c>
      <c r="AI15" s="91">
        <v>-14047</v>
      </c>
      <c r="AJ15" s="91">
        <v>-12571</v>
      </c>
      <c r="AK15" s="91">
        <v>-12111</v>
      </c>
      <c r="AL15" s="91">
        <v>-13713</v>
      </c>
      <c r="AM15" s="91">
        <v>-12233</v>
      </c>
      <c r="AN15" s="29"/>
    </row>
    <row r="16" spans="1:40" ht="13" customHeight="1">
      <c r="A16" s="90" t="s">
        <v>694</v>
      </c>
      <c r="B16" s="90" t="s">
        <v>691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132"/>
      <c r="T16" s="93"/>
      <c r="U16" s="93"/>
      <c r="V16" s="42"/>
      <c r="W16" s="93"/>
      <c r="X16" s="93"/>
      <c r="Y16" s="93"/>
      <c r="Z16" s="42"/>
      <c r="AA16" s="93"/>
      <c r="AB16" s="93"/>
      <c r="AC16" s="93"/>
      <c r="AD16" s="42"/>
      <c r="AE16" s="93"/>
      <c r="AF16" s="93"/>
      <c r="AG16" s="91"/>
      <c r="AH16" s="91"/>
      <c r="AI16" s="91">
        <v>-1396</v>
      </c>
      <c r="AJ16" s="91">
        <v>0</v>
      </c>
      <c r="AK16" s="91">
        <v>0</v>
      </c>
      <c r="AL16" s="91">
        <v>-86615</v>
      </c>
      <c r="AM16" s="91">
        <v>-8389</v>
      </c>
      <c r="AN16" s="29"/>
    </row>
    <row r="17" spans="1:40" ht="13" customHeight="1">
      <c r="A17" s="90" t="s">
        <v>602</v>
      </c>
      <c r="B17" s="90" t="s">
        <v>588</v>
      </c>
      <c r="C17" s="93">
        <v>-256</v>
      </c>
      <c r="D17" s="93">
        <v>-1746</v>
      </c>
      <c r="E17" s="93">
        <v>-533</v>
      </c>
      <c r="F17" s="93">
        <v>-2325</v>
      </c>
      <c r="G17" s="93">
        <v>-31</v>
      </c>
      <c r="H17" s="93">
        <v>-395</v>
      </c>
      <c r="I17" s="93">
        <v>-176</v>
      </c>
      <c r="J17" s="93">
        <v>-3078</v>
      </c>
      <c r="K17" s="93">
        <v>-3575</v>
      </c>
      <c r="L17" s="93">
        <v>-2952</v>
      </c>
      <c r="M17" s="93">
        <v>-9078</v>
      </c>
      <c r="N17" s="93">
        <v>-21400</v>
      </c>
      <c r="O17" s="93">
        <v>-5239</v>
      </c>
      <c r="P17" s="93">
        <v>-1447</v>
      </c>
      <c r="Q17" s="93">
        <v>-21763</v>
      </c>
      <c r="R17" s="93">
        <v>-40717</v>
      </c>
      <c r="S17" s="132">
        <v>-4495</v>
      </c>
      <c r="T17" s="93">
        <v>-3339</v>
      </c>
      <c r="U17" s="93">
        <v>-3279</v>
      </c>
      <c r="V17" s="42">
        <v>7988</v>
      </c>
      <c r="W17" s="93">
        <v>-788</v>
      </c>
      <c r="X17" s="93">
        <v>-339</v>
      </c>
      <c r="Y17" s="93">
        <v>-537</v>
      </c>
      <c r="Z17" s="42">
        <v>-1176</v>
      </c>
      <c r="AA17" s="93">
        <v>-531</v>
      </c>
      <c r="AB17" s="93">
        <v>-21</v>
      </c>
      <c r="AC17" s="93">
        <v>-912</v>
      </c>
      <c r="AD17" s="42">
        <v>-624</v>
      </c>
      <c r="AE17" s="93">
        <v>-628</v>
      </c>
      <c r="AF17" s="93">
        <v>-603</v>
      </c>
      <c r="AG17" s="91">
        <v>-2523</v>
      </c>
      <c r="AH17" s="91">
        <v>-8161</v>
      </c>
      <c r="AI17" s="91">
        <v>-570</v>
      </c>
      <c r="AJ17" s="91">
        <v>-1487</v>
      </c>
      <c r="AK17" s="91">
        <v>-1280</v>
      </c>
      <c r="AL17" s="91">
        <v>-1469</v>
      </c>
      <c r="AM17" s="91">
        <v>-604</v>
      </c>
      <c r="AN17" s="29"/>
    </row>
    <row r="18" spans="1:40" ht="13" customHeight="1">
      <c r="A18" s="90" t="s">
        <v>596</v>
      </c>
      <c r="B18" s="90" t="s">
        <v>582</v>
      </c>
      <c r="C18" s="93">
        <v>-588</v>
      </c>
      <c r="D18" s="93">
        <v>-318</v>
      </c>
      <c r="E18" s="93">
        <v>-668</v>
      </c>
      <c r="F18" s="93">
        <v>252</v>
      </c>
      <c r="G18" s="93">
        <v>-487</v>
      </c>
      <c r="H18" s="93">
        <v>-162</v>
      </c>
      <c r="I18" s="93">
        <v>-312</v>
      </c>
      <c r="J18" s="93">
        <v>-465</v>
      </c>
      <c r="K18" s="93">
        <v>-1238</v>
      </c>
      <c r="L18" s="93">
        <v>-4267</v>
      </c>
      <c r="M18" s="93">
        <v>-5799</v>
      </c>
      <c r="N18" s="93">
        <v>9172</v>
      </c>
      <c r="O18" s="93">
        <v>-617</v>
      </c>
      <c r="P18" s="93">
        <v>-381</v>
      </c>
      <c r="Q18" s="93">
        <v>-418</v>
      </c>
      <c r="R18" s="93">
        <v>-589</v>
      </c>
      <c r="S18" s="132">
        <v>-695</v>
      </c>
      <c r="T18" s="93">
        <v>-474</v>
      </c>
      <c r="U18" s="93">
        <v>-453</v>
      </c>
      <c r="V18" s="42">
        <v>-2321</v>
      </c>
      <c r="W18" s="93">
        <v>-355</v>
      </c>
      <c r="X18" s="93">
        <v>-349</v>
      </c>
      <c r="Y18" s="93">
        <v>-1036</v>
      </c>
      <c r="Z18" s="42">
        <v>-330</v>
      </c>
      <c r="AA18" s="93">
        <v>-481</v>
      </c>
      <c r="AB18" s="93">
        <v>1</v>
      </c>
      <c r="AC18" s="93">
        <v>-290</v>
      </c>
      <c r="AD18" s="42">
        <v>-291</v>
      </c>
      <c r="AE18" s="93">
        <v>-322</v>
      </c>
      <c r="AF18" s="93">
        <v>-314</v>
      </c>
      <c r="AG18" s="91">
        <v>-343</v>
      </c>
      <c r="AH18" s="91">
        <v>-342</v>
      </c>
      <c r="AI18" s="91">
        <v>-300</v>
      </c>
      <c r="AJ18" s="91">
        <v>-299</v>
      </c>
      <c r="AK18" s="91">
        <v>-284</v>
      </c>
      <c r="AL18" s="91">
        <v>-776</v>
      </c>
      <c r="AM18" s="91">
        <v>-404</v>
      </c>
      <c r="AN18" s="29"/>
    </row>
    <row r="19" spans="1:40" ht="13" customHeight="1">
      <c r="A19" s="90" t="s">
        <v>603</v>
      </c>
      <c r="B19" s="90" t="s">
        <v>589</v>
      </c>
      <c r="C19" s="93">
        <v>-1948</v>
      </c>
      <c r="D19" s="93">
        <v>-10361</v>
      </c>
      <c r="E19" s="93">
        <v>-1536</v>
      </c>
      <c r="F19" s="93">
        <v>5477</v>
      </c>
      <c r="G19" s="93">
        <v>-1031</v>
      </c>
      <c r="H19" s="93">
        <v>-1624</v>
      </c>
      <c r="I19" s="93">
        <v>-1946</v>
      </c>
      <c r="J19" s="93">
        <v>-2743</v>
      </c>
      <c r="K19" s="93">
        <v>-683</v>
      </c>
      <c r="L19" s="93">
        <v>-460</v>
      </c>
      <c r="M19" s="93">
        <v>-512</v>
      </c>
      <c r="N19" s="93">
        <v>-2800</v>
      </c>
      <c r="O19" s="93">
        <v>-619</v>
      </c>
      <c r="P19" s="93">
        <v>-3635</v>
      </c>
      <c r="Q19" s="93">
        <v>2687</v>
      </c>
      <c r="R19" s="93">
        <v>-4015</v>
      </c>
      <c r="S19" s="132">
        <v>-864</v>
      </c>
      <c r="T19" s="93">
        <v>-1059</v>
      </c>
      <c r="U19" s="93">
        <v>-476</v>
      </c>
      <c r="V19" s="42">
        <v>-605</v>
      </c>
      <c r="W19" s="93">
        <v>-931</v>
      </c>
      <c r="X19" s="93">
        <v>-1784</v>
      </c>
      <c r="Y19" s="93">
        <v>-665</v>
      </c>
      <c r="Z19" s="42">
        <v>-226</v>
      </c>
      <c r="AA19" s="93">
        <v>-559</v>
      </c>
      <c r="AB19" s="93">
        <v>-457</v>
      </c>
      <c r="AC19" s="93">
        <v>-537</v>
      </c>
      <c r="AD19" s="42">
        <v>-442</v>
      </c>
      <c r="AE19" s="93">
        <v>-516</v>
      </c>
      <c r="AF19" s="93">
        <v>-626</v>
      </c>
      <c r="AG19" s="91">
        <v>-478</v>
      </c>
      <c r="AH19" s="91">
        <v>-629</v>
      </c>
      <c r="AI19" s="91">
        <v>-921</v>
      </c>
      <c r="AJ19" s="91">
        <v>-632</v>
      </c>
      <c r="AK19" s="91">
        <v>-547</v>
      </c>
      <c r="AL19" s="91">
        <v>-1620</v>
      </c>
      <c r="AM19" s="91">
        <v>-630</v>
      </c>
      <c r="AN19" s="29"/>
    </row>
    <row r="20" spans="1:40" ht="13" customHeight="1">
      <c r="A20" s="90" t="s">
        <v>604</v>
      </c>
      <c r="B20" s="90" t="s">
        <v>590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55">
        <v>0</v>
      </c>
      <c r="T20" s="55">
        <v>0</v>
      </c>
      <c r="U20" s="55">
        <v>0</v>
      </c>
      <c r="V20" s="42">
        <v>-16094</v>
      </c>
      <c r="W20" s="93">
        <v>-3767</v>
      </c>
      <c r="X20" s="93">
        <v>-3267</v>
      </c>
      <c r="Y20" s="93">
        <v>-1981</v>
      </c>
      <c r="Z20" s="42">
        <v>-7851</v>
      </c>
      <c r="AA20" s="93">
        <v>-1971</v>
      </c>
      <c r="AB20" s="93">
        <v>-2295</v>
      </c>
      <c r="AC20" s="93">
        <v>-2152</v>
      </c>
      <c r="AD20" s="42">
        <v>-2342</v>
      </c>
      <c r="AE20" s="93">
        <v>-1606</v>
      </c>
      <c r="AF20" s="93">
        <v>-4784</v>
      </c>
      <c r="AG20" s="91">
        <v>-4199</v>
      </c>
      <c r="AH20" s="91">
        <v>-2937</v>
      </c>
      <c r="AI20" s="91">
        <v>-4349</v>
      </c>
      <c r="AJ20" s="91">
        <v>-2337</v>
      </c>
      <c r="AK20" s="91">
        <v>-2511</v>
      </c>
      <c r="AL20" s="91">
        <v>-2418</v>
      </c>
      <c r="AM20" s="91">
        <v>-921</v>
      </c>
      <c r="AN20" s="29"/>
    </row>
    <row r="21" spans="1:40" ht="13" customHeight="1">
      <c r="A21" s="90" t="s">
        <v>598</v>
      </c>
      <c r="B21" s="90" t="s">
        <v>584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3">
        <v>0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132">
        <v>0</v>
      </c>
      <c r="T21" s="93">
        <v>0</v>
      </c>
      <c r="U21" s="93">
        <v>0</v>
      </c>
      <c r="V21" s="42">
        <v>0</v>
      </c>
      <c r="W21" s="93">
        <v>-1832</v>
      </c>
      <c r="X21" s="93">
        <v>0</v>
      </c>
      <c r="Y21" s="93">
        <v>0</v>
      </c>
      <c r="Z21" s="42">
        <v>1832</v>
      </c>
      <c r="AA21" s="93">
        <v>-1744</v>
      </c>
      <c r="AB21" s="93">
        <v>1</v>
      </c>
      <c r="AC21" s="93">
        <v>226</v>
      </c>
      <c r="AD21" s="42">
        <v>-1</v>
      </c>
      <c r="AE21" s="93">
        <v>-4</v>
      </c>
      <c r="AF21" s="93">
        <v>0</v>
      </c>
      <c r="AG21" s="91">
        <v>0</v>
      </c>
      <c r="AH21" s="91">
        <v>-194</v>
      </c>
      <c r="AI21" s="91">
        <v>-59</v>
      </c>
      <c r="AJ21" s="91">
        <v>1</v>
      </c>
      <c r="AK21" s="91">
        <v>0</v>
      </c>
      <c r="AL21" s="91">
        <v>0</v>
      </c>
      <c r="AM21" s="91">
        <v>-109</v>
      </c>
      <c r="AN21" s="29"/>
    </row>
    <row r="22" spans="1:40" ht="13" customHeight="1">
      <c r="A22" s="90" t="s">
        <v>307</v>
      </c>
      <c r="B22" s="90" t="s">
        <v>66</v>
      </c>
      <c r="C22" s="93">
        <v>-815</v>
      </c>
      <c r="D22" s="93">
        <v>-6470</v>
      </c>
      <c r="E22" s="93">
        <v>4066</v>
      </c>
      <c r="F22" s="93">
        <v>-4003</v>
      </c>
      <c r="G22" s="93">
        <v>-1193</v>
      </c>
      <c r="H22" s="93">
        <v>-13059</v>
      </c>
      <c r="I22" s="93">
        <v>-3946</v>
      </c>
      <c r="J22" s="93">
        <v>-2916</v>
      </c>
      <c r="K22" s="93">
        <v>-2528</v>
      </c>
      <c r="L22" s="93">
        <v>-2459</v>
      </c>
      <c r="M22" s="93">
        <v>-1546</v>
      </c>
      <c r="N22" s="93">
        <v>-7397</v>
      </c>
      <c r="O22" s="93">
        <v>-5046</v>
      </c>
      <c r="P22" s="93">
        <v>-3703</v>
      </c>
      <c r="Q22" s="93">
        <v>-3472</v>
      </c>
      <c r="R22" s="93">
        <v>-2644</v>
      </c>
      <c r="S22" s="132">
        <v>-2155</v>
      </c>
      <c r="T22" s="93">
        <v>-8824</v>
      </c>
      <c r="U22" s="93">
        <v>4251</v>
      </c>
      <c r="V22" s="42">
        <v>-2421</v>
      </c>
      <c r="W22" s="93">
        <v>-4513</v>
      </c>
      <c r="X22" s="93">
        <v>-7593</v>
      </c>
      <c r="Y22" s="93">
        <v>-2843</v>
      </c>
      <c r="Z22" s="42">
        <v>-2737</v>
      </c>
      <c r="AA22" s="93">
        <v>-1541</v>
      </c>
      <c r="AB22" s="93">
        <v>-4996</v>
      </c>
      <c r="AC22" s="93">
        <v>-3296</v>
      </c>
      <c r="AD22" s="42">
        <v>-13267</v>
      </c>
      <c r="AE22" s="93">
        <v>-4389</v>
      </c>
      <c r="AF22" s="93">
        <v>-3884</v>
      </c>
      <c r="AG22" s="91">
        <v>-9113</v>
      </c>
      <c r="AH22" s="91">
        <v>-10803</v>
      </c>
      <c r="AI22" s="91">
        <v>-6055</v>
      </c>
      <c r="AJ22" s="91">
        <v>-13864</v>
      </c>
      <c r="AK22" s="91">
        <v>-10842</v>
      </c>
      <c r="AL22" s="91">
        <v>-10869</v>
      </c>
      <c r="AM22" s="91">
        <v>-5585</v>
      </c>
      <c r="AN22" s="29"/>
    </row>
    <row r="23" spans="1:40" ht="13" customHeight="1">
      <c r="A23" s="88" t="s">
        <v>605</v>
      </c>
      <c r="B23" s="88" t="s">
        <v>591</v>
      </c>
      <c r="C23" s="94">
        <f t="shared" ref="C23:S23" si="7">C3+C13</f>
        <v>13413</v>
      </c>
      <c r="D23" s="94">
        <f t="shared" si="7"/>
        <v>10291</v>
      </c>
      <c r="E23" s="94">
        <f t="shared" si="7"/>
        <v>16378</v>
      </c>
      <c r="F23" s="94">
        <f t="shared" si="7"/>
        <v>11574</v>
      </c>
      <c r="G23" s="94">
        <f t="shared" si="7"/>
        <v>10611</v>
      </c>
      <c r="H23" s="94">
        <f t="shared" si="7"/>
        <v>47</v>
      </c>
      <c r="I23" s="94">
        <f t="shared" si="7"/>
        <v>3303</v>
      </c>
      <c r="J23" s="94">
        <f t="shared" si="7"/>
        <v>47058</v>
      </c>
      <c r="K23" s="94">
        <f t="shared" si="7"/>
        <v>16724</v>
      </c>
      <c r="L23" s="94">
        <f t="shared" si="7"/>
        <v>10989</v>
      </c>
      <c r="M23" s="94">
        <f t="shared" si="7"/>
        <v>5433</v>
      </c>
      <c r="N23" s="94">
        <f t="shared" si="7"/>
        <v>-6665</v>
      </c>
      <c r="O23" s="94">
        <f t="shared" si="7"/>
        <v>28658</v>
      </c>
      <c r="P23" s="94">
        <f t="shared" si="7"/>
        <v>-166</v>
      </c>
      <c r="Q23" s="94">
        <f t="shared" si="7"/>
        <v>-15950</v>
      </c>
      <c r="R23" s="94">
        <f t="shared" si="7"/>
        <v>-27304</v>
      </c>
      <c r="S23" s="94">
        <f t="shared" si="7"/>
        <v>12493</v>
      </c>
      <c r="T23" s="94">
        <f t="shared" ref="T23:Z23" si="8">T3+T13</f>
        <v>3726</v>
      </c>
      <c r="U23" s="94">
        <f t="shared" si="8"/>
        <v>-40524</v>
      </c>
      <c r="V23" s="94">
        <f t="shared" si="8"/>
        <v>-177834</v>
      </c>
      <c r="W23" s="94">
        <f t="shared" si="8"/>
        <v>7421</v>
      </c>
      <c r="X23" s="94">
        <f t="shared" si="8"/>
        <v>-97853</v>
      </c>
      <c r="Y23" s="94">
        <f t="shared" si="8"/>
        <v>10865</v>
      </c>
      <c r="Z23" s="94">
        <f t="shared" si="8"/>
        <v>-23840</v>
      </c>
      <c r="AA23" s="94">
        <f t="shared" ref="AA23:AH23" si="9">AA3+AA13</f>
        <v>24463</v>
      </c>
      <c r="AB23" s="94">
        <f t="shared" si="9"/>
        <v>5923</v>
      </c>
      <c r="AC23" s="94">
        <f t="shared" si="9"/>
        <v>-6531</v>
      </c>
      <c r="AD23" s="94">
        <f t="shared" si="9"/>
        <v>-44690</v>
      </c>
      <c r="AE23" s="94">
        <f t="shared" si="9"/>
        <v>1915</v>
      </c>
      <c r="AF23" s="94">
        <f t="shared" si="9"/>
        <v>9986</v>
      </c>
      <c r="AG23" s="94">
        <f t="shared" si="9"/>
        <v>-2806</v>
      </c>
      <c r="AH23" s="94">
        <f t="shared" si="9"/>
        <v>-18593</v>
      </c>
      <c r="AI23" s="94">
        <f t="shared" ref="AI23:AJ23" si="10">AI3+AI13</f>
        <v>1006</v>
      </c>
      <c r="AJ23" s="94">
        <f t="shared" si="10"/>
        <v>241</v>
      </c>
      <c r="AK23" s="94">
        <f>AK3+AK13</f>
        <v>3960</v>
      </c>
      <c r="AL23" s="94">
        <f>AL3+AL13</f>
        <v>-60494</v>
      </c>
      <c r="AM23" s="94">
        <f>AM3+AM13</f>
        <v>5754</v>
      </c>
      <c r="AN23" s="29"/>
    </row>
    <row r="24" spans="1:40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1:40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N32"/>
  <sheetViews>
    <sheetView zoomScaleNormal="100" workbookViewId="0">
      <pane xSplit="2" ySplit="3" topLeftCell="AH16" activePane="bottomRight" state="frozen"/>
      <selection sqref="A1:B1048576"/>
      <selection pane="topRight" sqref="A1:B1048576"/>
      <selection pane="bottomLeft" sqref="A1:B1048576"/>
      <selection pane="bottomRight" activeCell="B33" sqref="B33"/>
    </sheetView>
  </sheetViews>
  <sheetFormatPr defaultColWidth="9.33203125" defaultRowHeight="11.5"/>
  <cols>
    <col min="1" max="2" width="50.6640625" style="2" customWidth="1"/>
    <col min="3" max="37" width="10.6640625" style="2" customWidth="1"/>
    <col min="38" max="16384" width="9.33203125" style="2"/>
  </cols>
  <sheetData>
    <row r="1" spans="1:40" ht="12" hidden="1" thickBot="1">
      <c r="A1" s="100"/>
      <c r="B1" s="100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0" ht="13" customHeight="1" thickBot="1">
      <c r="A2" s="100" t="str">
        <f>HYPERLINK("#Spis_treści!B6",Menu!B6)</f>
        <v>Table of contents</v>
      </c>
      <c r="B2" s="100" t="str">
        <f>HYPERLINK("#Spis_treści!C6",Menu!C6)</f>
        <v>Spis treści</v>
      </c>
      <c r="C2" s="1" t="s">
        <v>406</v>
      </c>
      <c r="D2" s="1" t="s">
        <v>407</v>
      </c>
      <c r="E2" s="1" t="s">
        <v>408</v>
      </c>
      <c r="F2" s="1" t="s">
        <v>409</v>
      </c>
      <c r="G2" s="1" t="s">
        <v>410</v>
      </c>
      <c r="H2" s="1" t="s">
        <v>411</v>
      </c>
      <c r="I2" s="1" t="s">
        <v>412</v>
      </c>
      <c r="J2" s="1" t="s">
        <v>413</v>
      </c>
      <c r="K2" s="1" t="s">
        <v>414</v>
      </c>
      <c r="L2" s="1" t="s">
        <v>415</v>
      </c>
      <c r="M2" s="1" t="s">
        <v>416</v>
      </c>
      <c r="N2" s="1" t="s">
        <v>417</v>
      </c>
      <c r="O2" s="1" t="s">
        <v>418</v>
      </c>
      <c r="P2" s="1" t="s">
        <v>419</v>
      </c>
      <c r="Q2" s="1" t="s">
        <v>420</v>
      </c>
      <c r="R2" s="1" t="s">
        <v>421</v>
      </c>
      <c r="S2" s="1" t="s">
        <v>422</v>
      </c>
      <c r="T2" s="1" t="s">
        <v>423</v>
      </c>
      <c r="U2" s="1" t="s">
        <v>424</v>
      </c>
      <c r="V2" s="1" t="s">
        <v>425</v>
      </c>
      <c r="W2" s="1" t="s">
        <v>426</v>
      </c>
      <c r="X2" s="1" t="s">
        <v>427</v>
      </c>
      <c r="Y2" s="1" t="s">
        <v>428</v>
      </c>
      <c r="Z2" s="1" t="s">
        <v>429</v>
      </c>
      <c r="AA2" s="1" t="s">
        <v>430</v>
      </c>
      <c r="AB2" s="1" t="s">
        <v>431</v>
      </c>
      <c r="AC2" s="1" t="s">
        <v>432</v>
      </c>
      <c r="AD2" s="1" t="s">
        <v>462</v>
      </c>
      <c r="AE2" s="1" t="s">
        <v>491</v>
      </c>
      <c r="AF2" s="1" t="s">
        <v>493</v>
      </c>
      <c r="AG2" s="1" t="s">
        <v>522</v>
      </c>
      <c r="AH2" s="1" t="s">
        <v>661</v>
      </c>
      <c r="AI2" s="1" t="s">
        <v>671</v>
      </c>
      <c r="AJ2" s="1" t="s">
        <v>677</v>
      </c>
      <c r="AK2" s="1" t="s">
        <v>683</v>
      </c>
      <c r="AL2" s="1" t="s">
        <v>689</v>
      </c>
      <c r="AM2" s="1" t="s">
        <v>695</v>
      </c>
    </row>
    <row r="3" spans="1:40" ht="13" customHeight="1" thickBot="1">
      <c r="A3" s="1" t="s">
        <v>685</v>
      </c>
      <c r="B3" s="1" t="s">
        <v>686</v>
      </c>
      <c r="C3" s="1" t="s">
        <v>433</v>
      </c>
      <c r="D3" s="1" t="s">
        <v>434</v>
      </c>
      <c r="E3" s="1" t="s">
        <v>435</v>
      </c>
      <c r="F3" s="1" t="s">
        <v>436</v>
      </c>
      <c r="G3" s="1" t="s">
        <v>437</v>
      </c>
      <c r="H3" s="1" t="s">
        <v>438</v>
      </c>
      <c r="I3" s="1" t="s">
        <v>439</v>
      </c>
      <c r="J3" s="1" t="s">
        <v>440</v>
      </c>
      <c r="K3" s="1" t="s">
        <v>441</v>
      </c>
      <c r="L3" s="1" t="s">
        <v>442</v>
      </c>
      <c r="M3" s="1" t="s">
        <v>443</v>
      </c>
      <c r="N3" s="1" t="s">
        <v>444</v>
      </c>
      <c r="O3" s="1" t="s">
        <v>445</v>
      </c>
      <c r="P3" s="1" t="s">
        <v>446</v>
      </c>
      <c r="Q3" s="1" t="s">
        <v>447</v>
      </c>
      <c r="R3" s="1" t="s">
        <v>448</v>
      </c>
      <c r="S3" s="1" t="s">
        <v>449</v>
      </c>
      <c r="T3" s="1" t="s">
        <v>450</v>
      </c>
      <c r="U3" s="1" t="s">
        <v>451</v>
      </c>
      <c r="V3" s="1" t="s">
        <v>452</v>
      </c>
      <c r="W3" s="1" t="s">
        <v>453</v>
      </c>
      <c r="X3" s="1" t="s">
        <v>454</v>
      </c>
      <c r="Y3" s="1" t="s">
        <v>455</v>
      </c>
      <c r="Z3" s="1" t="s">
        <v>456</v>
      </c>
      <c r="AA3" s="1" t="s">
        <v>457</v>
      </c>
      <c r="AB3" s="1" t="s">
        <v>458</v>
      </c>
      <c r="AC3" s="1" t="s">
        <v>459</v>
      </c>
      <c r="AD3" s="1" t="s">
        <v>461</v>
      </c>
      <c r="AE3" s="1" t="s">
        <v>492</v>
      </c>
      <c r="AF3" s="1" t="s">
        <v>494</v>
      </c>
      <c r="AG3" s="1" t="s">
        <v>523</v>
      </c>
      <c r="AH3" s="1" t="s">
        <v>662</v>
      </c>
      <c r="AI3" s="1" t="s">
        <v>672</v>
      </c>
      <c r="AJ3" s="1" t="s">
        <v>678</v>
      </c>
      <c r="AK3" s="1" t="s">
        <v>684</v>
      </c>
      <c r="AL3" s="1" t="s">
        <v>690</v>
      </c>
      <c r="AM3" s="1" t="s">
        <v>696</v>
      </c>
    </row>
    <row r="4" spans="1:40" ht="13" customHeight="1" thickBot="1">
      <c r="A4" s="27" t="s">
        <v>199</v>
      </c>
      <c r="B4" s="27" t="s">
        <v>3</v>
      </c>
      <c r="C4" s="30">
        <f t="shared" ref="C4:N4" si="0">SUM(C5:C18)</f>
        <v>135582</v>
      </c>
      <c r="D4" s="30">
        <f t="shared" si="0"/>
        <v>124811</v>
      </c>
      <c r="E4" s="30">
        <f t="shared" si="0"/>
        <v>144977</v>
      </c>
      <c r="F4" s="30">
        <f t="shared" si="0"/>
        <v>140360</v>
      </c>
      <c r="G4" s="30">
        <f t="shared" si="0"/>
        <v>137970</v>
      </c>
      <c r="H4" s="30">
        <f t="shared" si="0"/>
        <v>137134</v>
      </c>
      <c r="I4" s="30">
        <f t="shared" si="0"/>
        <v>135490</v>
      </c>
      <c r="J4" s="30">
        <f t="shared" si="0"/>
        <v>180107</v>
      </c>
      <c r="K4" s="30">
        <f t="shared" si="0"/>
        <v>189088</v>
      </c>
      <c r="L4" s="30">
        <f t="shared" si="0"/>
        <v>203275</v>
      </c>
      <c r="M4" s="30">
        <f t="shared" si="0"/>
        <v>201424</v>
      </c>
      <c r="N4" s="30">
        <f t="shared" si="0"/>
        <v>211816</v>
      </c>
      <c r="O4" s="30">
        <f>SUM(O5:O18)</f>
        <v>264369</v>
      </c>
      <c r="P4" s="30">
        <f t="shared" ref="P4:U4" si="1">SUM(P5:P18)</f>
        <v>265023</v>
      </c>
      <c r="Q4" s="30">
        <f t="shared" si="1"/>
        <v>283467</v>
      </c>
      <c r="R4" s="30">
        <f t="shared" si="1"/>
        <v>286609</v>
      </c>
      <c r="S4" s="30">
        <f t="shared" si="1"/>
        <v>266948</v>
      </c>
      <c r="T4" s="30">
        <f t="shared" si="1"/>
        <v>284261</v>
      </c>
      <c r="U4" s="30">
        <f t="shared" si="1"/>
        <v>302209</v>
      </c>
      <c r="V4" s="30">
        <f>SUM(V5:V18)</f>
        <v>303634</v>
      </c>
      <c r="W4" s="30">
        <f>SUM(W5:W18)</f>
        <v>269347</v>
      </c>
      <c r="X4" s="30">
        <f>SUM(X5:X18)</f>
        <v>294250</v>
      </c>
      <c r="Y4" s="30">
        <v>329428</v>
      </c>
      <c r="Z4" s="30">
        <f t="shared" ref="Z4:AE4" si="2">SUM(Z5:Z18)</f>
        <v>322724</v>
      </c>
      <c r="AA4" s="30">
        <f t="shared" si="2"/>
        <v>316398</v>
      </c>
      <c r="AB4" s="30">
        <f t="shared" si="2"/>
        <v>345200</v>
      </c>
      <c r="AC4" s="30">
        <f t="shared" si="2"/>
        <v>380365</v>
      </c>
      <c r="AD4" s="30">
        <f t="shared" si="2"/>
        <v>399551</v>
      </c>
      <c r="AE4" s="30">
        <f t="shared" si="2"/>
        <v>371419</v>
      </c>
      <c r="AF4" s="30">
        <f t="shared" ref="AF4:AG4" si="3">SUM(AF5:AF18)</f>
        <v>432416</v>
      </c>
      <c r="AG4" s="30">
        <f t="shared" si="3"/>
        <v>430599</v>
      </c>
      <c r="AH4" s="30">
        <f t="shared" ref="AH4:AI4" si="4">SUM(AH5:AH18)</f>
        <v>402121</v>
      </c>
      <c r="AI4" s="30">
        <f t="shared" si="4"/>
        <v>420359</v>
      </c>
      <c r="AJ4" s="30">
        <f t="shared" ref="AJ4:AK4" si="5">SUM(AJ5:AJ18)</f>
        <v>466660</v>
      </c>
      <c r="AK4" s="30">
        <f t="shared" si="5"/>
        <v>438006</v>
      </c>
      <c r="AL4" s="30">
        <f t="shared" ref="AL4:AM4" si="6">SUM(AL5:AL18)</f>
        <v>477043</v>
      </c>
      <c r="AM4" s="30">
        <f t="shared" si="6"/>
        <v>450692</v>
      </c>
      <c r="AN4" s="9"/>
    </row>
    <row r="5" spans="1:40" ht="13" customHeight="1">
      <c r="A5" s="61" t="s">
        <v>237</v>
      </c>
      <c r="B5" s="61" t="s">
        <v>77</v>
      </c>
      <c r="C5" s="52">
        <v>20404</v>
      </c>
      <c r="D5" s="52">
        <v>21489</v>
      </c>
      <c r="E5" s="52">
        <v>24079</v>
      </c>
      <c r="F5" s="52">
        <v>23939</v>
      </c>
      <c r="G5" s="52">
        <v>24484</v>
      </c>
      <c r="H5" s="52">
        <v>24671</v>
      </c>
      <c r="I5" s="52">
        <v>23237</v>
      </c>
      <c r="J5" s="52">
        <v>41840</v>
      </c>
      <c r="K5" s="52">
        <v>45504</v>
      </c>
      <c r="L5" s="52">
        <v>53075</v>
      </c>
      <c r="M5" s="52">
        <v>55660</v>
      </c>
      <c r="N5" s="52">
        <v>58363</v>
      </c>
      <c r="O5" s="52">
        <v>56686</v>
      </c>
      <c r="P5" s="52">
        <v>62435</v>
      </c>
      <c r="Q5" s="52">
        <v>65619</v>
      </c>
      <c r="R5" s="52">
        <v>69680</v>
      </c>
      <c r="S5" s="52">
        <v>65133</v>
      </c>
      <c r="T5" s="52">
        <v>79151</v>
      </c>
      <c r="U5" s="52">
        <v>86470</v>
      </c>
      <c r="V5" s="52">
        <v>88899</v>
      </c>
      <c r="W5" s="52">
        <v>85160</v>
      </c>
      <c r="X5" s="52">
        <v>94715</v>
      </c>
      <c r="Y5" s="52">
        <v>110226</v>
      </c>
      <c r="Z5" s="52">
        <v>106753</v>
      </c>
      <c r="AA5" s="52">
        <v>100429</v>
      </c>
      <c r="AB5" s="52">
        <v>122490</v>
      </c>
      <c r="AC5" s="52">
        <v>140005</v>
      </c>
      <c r="AD5" s="52">
        <v>139241</v>
      </c>
      <c r="AE5" s="52">
        <v>133089</v>
      </c>
      <c r="AF5" s="52">
        <v>167863</v>
      </c>
      <c r="AG5" s="52">
        <v>177666</v>
      </c>
      <c r="AH5" s="52">
        <v>179621</v>
      </c>
      <c r="AI5" s="52">
        <v>169839</v>
      </c>
      <c r="AJ5" s="52">
        <v>197690</v>
      </c>
      <c r="AK5" s="52">
        <v>208069</v>
      </c>
      <c r="AL5" s="52">
        <v>200711</v>
      </c>
      <c r="AM5" s="52">
        <v>192047</v>
      </c>
      <c r="AN5" s="9"/>
    </row>
    <row r="6" spans="1:40" ht="13" customHeight="1">
      <c r="A6" s="61" t="s">
        <v>238</v>
      </c>
      <c r="B6" s="61" t="s">
        <v>78</v>
      </c>
      <c r="C6" s="55" t="s">
        <v>97</v>
      </c>
      <c r="D6" s="55" t="s">
        <v>97</v>
      </c>
      <c r="E6" s="55" t="s">
        <v>97</v>
      </c>
      <c r="F6" s="55" t="s">
        <v>97</v>
      </c>
      <c r="G6" s="55" t="s">
        <v>97</v>
      </c>
      <c r="H6" s="55" t="s">
        <v>97</v>
      </c>
      <c r="I6" s="55" t="s">
        <v>97</v>
      </c>
      <c r="J6" s="55" t="s">
        <v>97</v>
      </c>
      <c r="K6" s="55" t="s">
        <v>97</v>
      </c>
      <c r="L6" s="55" t="s">
        <v>97</v>
      </c>
      <c r="M6" s="55" t="s">
        <v>97</v>
      </c>
      <c r="N6" s="55" t="s">
        <v>97</v>
      </c>
      <c r="O6" s="52">
        <v>67644</v>
      </c>
      <c r="P6" s="52">
        <v>64495</v>
      </c>
      <c r="Q6" s="52">
        <v>71232</v>
      </c>
      <c r="R6" s="52">
        <v>70535</v>
      </c>
      <c r="S6" s="52">
        <v>68435</v>
      </c>
      <c r="T6" s="52">
        <v>75862</v>
      </c>
      <c r="U6" s="52">
        <v>81832</v>
      </c>
      <c r="V6" s="52">
        <v>69959</v>
      </c>
      <c r="W6" s="52">
        <v>48546</v>
      </c>
      <c r="X6" s="52">
        <v>57203</v>
      </c>
      <c r="Y6" s="52">
        <v>69259</v>
      </c>
      <c r="Z6" s="52">
        <v>53497</v>
      </c>
      <c r="AA6" s="52">
        <v>53270</v>
      </c>
      <c r="AB6" s="52">
        <v>54545</v>
      </c>
      <c r="AC6" s="52">
        <v>70756</v>
      </c>
      <c r="AD6" s="52">
        <v>84955</v>
      </c>
      <c r="AE6" s="52">
        <v>66929</v>
      </c>
      <c r="AF6" s="52">
        <v>88089</v>
      </c>
      <c r="AG6" s="52">
        <v>86975</v>
      </c>
      <c r="AH6" s="52">
        <v>62258</v>
      </c>
      <c r="AI6" s="52">
        <v>83151</v>
      </c>
      <c r="AJ6" s="52">
        <v>100470</v>
      </c>
      <c r="AK6" s="52">
        <v>62606</v>
      </c>
      <c r="AL6" s="52">
        <v>106112</v>
      </c>
      <c r="AM6" s="52">
        <v>85321</v>
      </c>
      <c r="AN6" s="9"/>
    </row>
    <row r="7" spans="1:40" ht="13" customHeight="1">
      <c r="A7" s="61" t="s">
        <v>239</v>
      </c>
      <c r="B7" s="61" t="s">
        <v>79</v>
      </c>
      <c r="C7" s="52">
        <v>18796</v>
      </c>
      <c r="D7" s="52">
        <v>21052</v>
      </c>
      <c r="E7" s="52">
        <v>23197</v>
      </c>
      <c r="F7" s="52">
        <v>22288</v>
      </c>
      <c r="G7" s="52">
        <v>25362</v>
      </c>
      <c r="H7" s="52">
        <v>26311</v>
      </c>
      <c r="I7" s="52">
        <v>28152</v>
      </c>
      <c r="J7" s="52">
        <v>31122</v>
      </c>
      <c r="K7" s="52">
        <v>38107</v>
      </c>
      <c r="L7" s="52">
        <v>33946</v>
      </c>
      <c r="M7" s="52">
        <v>32473</v>
      </c>
      <c r="N7" s="52">
        <v>32332</v>
      </c>
      <c r="O7" s="52">
        <v>30218</v>
      </c>
      <c r="P7" s="52">
        <v>27939</v>
      </c>
      <c r="Q7" s="52">
        <v>30320</v>
      </c>
      <c r="R7" s="52">
        <v>30759</v>
      </c>
      <c r="S7" s="52">
        <v>26815</v>
      </c>
      <c r="T7" s="52">
        <v>25930</v>
      </c>
      <c r="U7" s="52">
        <v>24598</v>
      </c>
      <c r="V7" s="52">
        <v>24197</v>
      </c>
      <c r="W7" s="52">
        <v>24217</v>
      </c>
      <c r="X7" s="52">
        <v>25751</v>
      </c>
      <c r="Y7" s="52">
        <v>26211</v>
      </c>
      <c r="Z7" s="52">
        <v>28922</v>
      </c>
      <c r="AA7" s="52">
        <v>26981</v>
      </c>
      <c r="AB7" s="52">
        <v>27717</v>
      </c>
      <c r="AC7" s="52">
        <v>29675</v>
      </c>
      <c r="AD7" s="52">
        <v>30326</v>
      </c>
      <c r="AE7" s="52">
        <v>29271</v>
      </c>
      <c r="AF7" s="52">
        <v>31414</v>
      </c>
      <c r="AG7" s="52">
        <v>24733</v>
      </c>
      <c r="AH7" s="52">
        <v>23796</v>
      </c>
      <c r="AI7" s="52">
        <v>23724</v>
      </c>
      <c r="AJ7" s="52">
        <v>24325</v>
      </c>
      <c r="AK7" s="52">
        <v>25999</v>
      </c>
      <c r="AL7" s="52">
        <v>26327</v>
      </c>
      <c r="AM7" s="52">
        <v>27213</v>
      </c>
      <c r="AN7" s="9"/>
    </row>
    <row r="8" spans="1:40" ht="13" customHeight="1">
      <c r="A8" s="61" t="s">
        <v>240</v>
      </c>
      <c r="B8" s="61" t="s">
        <v>80</v>
      </c>
      <c r="C8" s="52">
        <v>15738</v>
      </c>
      <c r="D8" s="52">
        <v>17413</v>
      </c>
      <c r="E8" s="52">
        <v>19453</v>
      </c>
      <c r="F8" s="52">
        <v>21142</v>
      </c>
      <c r="G8" s="52">
        <v>17457</v>
      </c>
      <c r="H8" s="52">
        <v>12972</v>
      </c>
      <c r="I8" s="52">
        <v>16597</v>
      </c>
      <c r="J8" s="52">
        <v>27379</v>
      </c>
      <c r="K8" s="52">
        <v>22796</v>
      </c>
      <c r="L8" s="52">
        <v>24541</v>
      </c>
      <c r="M8" s="52">
        <v>24925</v>
      </c>
      <c r="N8" s="52">
        <v>23885</v>
      </c>
      <c r="O8" s="52">
        <v>20065</v>
      </c>
      <c r="P8" s="52">
        <v>19268</v>
      </c>
      <c r="Q8" s="52">
        <v>17481</v>
      </c>
      <c r="R8" s="52">
        <v>9344</v>
      </c>
      <c r="S8" s="52">
        <v>7141</v>
      </c>
      <c r="T8" s="52">
        <v>6115</v>
      </c>
      <c r="U8" s="52">
        <v>4695</v>
      </c>
      <c r="V8" s="52">
        <v>5684</v>
      </c>
      <c r="W8" s="52">
        <v>10758</v>
      </c>
      <c r="X8" s="52">
        <v>13351</v>
      </c>
      <c r="Y8" s="52">
        <v>13883</v>
      </c>
      <c r="Z8" s="52">
        <v>17642</v>
      </c>
      <c r="AA8" s="52">
        <v>16160</v>
      </c>
      <c r="AB8" s="52">
        <v>11755</v>
      </c>
      <c r="AC8" s="52">
        <v>12526</v>
      </c>
      <c r="AD8" s="52">
        <v>12560</v>
      </c>
      <c r="AE8" s="52">
        <v>16050</v>
      </c>
      <c r="AF8" s="52">
        <v>14370</v>
      </c>
      <c r="AG8" s="52">
        <v>12752</v>
      </c>
      <c r="AH8" s="52">
        <v>10150</v>
      </c>
      <c r="AI8" s="52">
        <v>12827</v>
      </c>
      <c r="AJ8" s="52">
        <v>12510</v>
      </c>
      <c r="AK8" s="52">
        <v>10287</v>
      </c>
      <c r="AL8" s="52">
        <v>14719</v>
      </c>
      <c r="AM8" s="52">
        <v>15089</v>
      </c>
      <c r="AN8" s="9"/>
    </row>
    <row r="9" spans="1:40" ht="13" customHeight="1">
      <c r="A9" s="61" t="s">
        <v>241</v>
      </c>
      <c r="B9" s="61" t="s">
        <v>81</v>
      </c>
      <c r="C9" s="52">
        <v>34673</v>
      </c>
      <c r="D9" s="52">
        <v>10328</v>
      </c>
      <c r="E9" s="52">
        <v>25984</v>
      </c>
      <c r="F9" s="52">
        <v>23637</v>
      </c>
      <c r="G9" s="52">
        <v>21338</v>
      </c>
      <c r="H9" s="52">
        <v>28621</v>
      </c>
      <c r="I9" s="52">
        <v>13385</v>
      </c>
      <c r="J9" s="52">
        <v>11945</v>
      </c>
      <c r="K9" s="52">
        <v>17488</v>
      </c>
      <c r="L9" s="52">
        <v>24767</v>
      </c>
      <c r="M9" s="52">
        <v>21266</v>
      </c>
      <c r="N9" s="52">
        <v>24679</v>
      </c>
      <c r="O9" s="52">
        <v>20862</v>
      </c>
      <c r="P9" s="52">
        <v>15326</v>
      </c>
      <c r="Q9" s="52">
        <v>22817</v>
      </c>
      <c r="R9" s="52">
        <v>28630</v>
      </c>
      <c r="S9" s="52">
        <v>23703</v>
      </c>
      <c r="T9" s="52">
        <v>20798</v>
      </c>
      <c r="U9" s="52">
        <v>23587</v>
      </c>
      <c r="V9" s="52">
        <f>25146-1787</f>
        <v>23359</v>
      </c>
      <c r="W9" s="52">
        <v>22480</v>
      </c>
      <c r="X9" s="52">
        <v>24105</v>
      </c>
      <c r="Y9" s="52">
        <v>31298</v>
      </c>
      <c r="Z9" s="52">
        <v>16104</v>
      </c>
      <c r="AA9" s="52">
        <v>25421</v>
      </c>
      <c r="AB9" s="52">
        <v>28589</v>
      </c>
      <c r="AC9" s="52">
        <v>28239</v>
      </c>
      <c r="AD9" s="52">
        <v>25299</v>
      </c>
      <c r="AE9" s="52">
        <v>25292</v>
      </c>
      <c r="AF9" s="52">
        <v>24656</v>
      </c>
      <c r="AG9" s="52">
        <v>23346</v>
      </c>
      <c r="AH9" s="52">
        <v>19249</v>
      </c>
      <c r="AI9" s="52">
        <v>24821</v>
      </c>
      <c r="AJ9" s="52">
        <v>27104</v>
      </c>
      <c r="AK9" s="52">
        <v>25387</v>
      </c>
      <c r="AL9" s="52">
        <v>23169</v>
      </c>
      <c r="AM9" s="52">
        <v>25372</v>
      </c>
      <c r="AN9" s="9"/>
    </row>
    <row r="10" spans="1:40" ht="13" customHeight="1">
      <c r="A10" s="61" t="s">
        <v>242</v>
      </c>
      <c r="B10" s="61" t="s">
        <v>82</v>
      </c>
      <c r="C10" s="52">
        <v>16505</v>
      </c>
      <c r="D10" s="52">
        <v>17868</v>
      </c>
      <c r="E10" s="52">
        <v>17382</v>
      </c>
      <c r="F10" s="52">
        <v>14592</v>
      </c>
      <c r="G10" s="52">
        <v>13637</v>
      </c>
      <c r="H10" s="52">
        <v>14235</v>
      </c>
      <c r="I10" s="52">
        <v>16066</v>
      </c>
      <c r="J10" s="52">
        <v>19789</v>
      </c>
      <c r="K10" s="52">
        <v>20783</v>
      </c>
      <c r="L10" s="52">
        <v>22067</v>
      </c>
      <c r="M10" s="52">
        <v>21005</v>
      </c>
      <c r="N10" s="52">
        <v>25072</v>
      </c>
      <c r="O10" s="52">
        <v>25607</v>
      </c>
      <c r="P10" s="52">
        <v>31063</v>
      </c>
      <c r="Q10" s="52">
        <v>29308</v>
      </c>
      <c r="R10" s="52">
        <v>27925</v>
      </c>
      <c r="S10" s="52">
        <v>26064</v>
      </c>
      <c r="T10" s="52">
        <v>26803</v>
      </c>
      <c r="U10" s="52">
        <v>28331</v>
      </c>
      <c r="V10" s="52">
        <v>38153</v>
      </c>
      <c r="W10" s="52">
        <v>29690</v>
      </c>
      <c r="X10" s="52">
        <v>31547</v>
      </c>
      <c r="Y10" s="52">
        <v>28808</v>
      </c>
      <c r="Z10" s="52">
        <v>41280</v>
      </c>
      <c r="AA10" s="52">
        <v>35434</v>
      </c>
      <c r="AB10" s="52">
        <v>38408</v>
      </c>
      <c r="AC10" s="52">
        <v>37614</v>
      </c>
      <c r="AD10" s="52">
        <v>36890</v>
      </c>
      <c r="AE10" s="52">
        <v>37764</v>
      </c>
      <c r="AF10" s="52">
        <v>40415</v>
      </c>
      <c r="AG10" s="52">
        <v>38860</v>
      </c>
      <c r="AH10" s="52">
        <v>40614</v>
      </c>
      <c r="AI10" s="52">
        <v>38297</v>
      </c>
      <c r="AJ10" s="52">
        <v>40203</v>
      </c>
      <c r="AK10" s="52">
        <v>40617</v>
      </c>
      <c r="AL10" s="52">
        <v>38729</v>
      </c>
      <c r="AM10" s="52">
        <v>38465</v>
      </c>
      <c r="AN10" s="9"/>
    </row>
    <row r="11" spans="1:40" ht="13" customHeight="1">
      <c r="A11" s="61" t="s">
        <v>243</v>
      </c>
      <c r="B11" s="61" t="s">
        <v>83</v>
      </c>
      <c r="C11" s="52">
        <v>8806</v>
      </c>
      <c r="D11" s="52">
        <v>9056</v>
      </c>
      <c r="E11" s="52">
        <v>9067</v>
      </c>
      <c r="F11" s="52">
        <v>9378</v>
      </c>
      <c r="G11" s="52">
        <v>8903</v>
      </c>
      <c r="H11" s="52">
        <v>9375</v>
      </c>
      <c r="I11" s="52">
        <v>9405</v>
      </c>
      <c r="J11" s="52">
        <v>13918</v>
      </c>
      <c r="K11" s="52">
        <v>15716</v>
      </c>
      <c r="L11" s="52">
        <v>16187</v>
      </c>
      <c r="M11" s="52">
        <v>15591</v>
      </c>
      <c r="N11" s="52">
        <v>15891</v>
      </c>
      <c r="O11" s="52">
        <v>15446</v>
      </c>
      <c r="P11" s="52">
        <v>15141</v>
      </c>
      <c r="Q11" s="52">
        <v>14692</v>
      </c>
      <c r="R11" s="52">
        <v>15214</v>
      </c>
      <c r="S11" s="52">
        <v>13259</v>
      </c>
      <c r="T11" s="52">
        <v>13283</v>
      </c>
      <c r="U11" s="52">
        <v>13170</v>
      </c>
      <c r="V11" s="52">
        <v>13311</v>
      </c>
      <c r="W11" s="52">
        <v>11582</v>
      </c>
      <c r="X11" s="52">
        <v>10819</v>
      </c>
      <c r="Y11" s="52">
        <v>12287</v>
      </c>
      <c r="Z11" s="52">
        <v>13998</v>
      </c>
      <c r="AA11" s="52">
        <v>12787</v>
      </c>
      <c r="AB11" s="52">
        <v>13357</v>
      </c>
      <c r="AC11" s="52">
        <v>13437</v>
      </c>
      <c r="AD11" s="52">
        <v>14418</v>
      </c>
      <c r="AE11" s="52">
        <v>13373</v>
      </c>
      <c r="AF11" s="52">
        <v>14086</v>
      </c>
      <c r="AG11" s="52">
        <v>14168</v>
      </c>
      <c r="AH11" s="52">
        <v>14760</v>
      </c>
      <c r="AI11" s="52">
        <v>14276</v>
      </c>
      <c r="AJ11" s="52">
        <v>14582</v>
      </c>
      <c r="AK11" s="52">
        <v>14239</v>
      </c>
      <c r="AL11" s="52">
        <v>15056</v>
      </c>
      <c r="AM11" s="52">
        <v>14308</v>
      </c>
      <c r="AN11" s="9"/>
    </row>
    <row r="12" spans="1:40" ht="13" customHeight="1">
      <c r="A12" s="61" t="s">
        <v>244</v>
      </c>
      <c r="B12" s="61" t="s">
        <v>84</v>
      </c>
      <c r="C12" s="52">
        <v>4908</v>
      </c>
      <c r="D12" s="52">
        <v>5319</v>
      </c>
      <c r="E12" s="52">
        <v>5651</v>
      </c>
      <c r="F12" s="52">
        <v>5526</v>
      </c>
      <c r="G12" s="52">
        <v>5070</v>
      </c>
      <c r="H12" s="52">
        <v>5868</v>
      </c>
      <c r="I12" s="52">
        <v>7266</v>
      </c>
      <c r="J12" s="52">
        <v>9164</v>
      </c>
      <c r="K12" s="52">
        <v>9339</v>
      </c>
      <c r="L12" s="52">
        <v>11965</v>
      </c>
      <c r="M12" s="52">
        <v>12209</v>
      </c>
      <c r="N12" s="52">
        <v>12517</v>
      </c>
      <c r="O12" s="52">
        <v>10313</v>
      </c>
      <c r="P12" s="52">
        <v>10757</v>
      </c>
      <c r="Q12" s="52">
        <v>10717</v>
      </c>
      <c r="R12" s="52">
        <v>10179</v>
      </c>
      <c r="S12" s="52">
        <v>9412</v>
      </c>
      <c r="T12" s="52">
        <v>9853</v>
      </c>
      <c r="U12" s="52">
        <v>9983</v>
      </c>
      <c r="V12" s="52">
        <v>9416</v>
      </c>
      <c r="W12" s="52">
        <v>7581</v>
      </c>
      <c r="X12" s="52">
        <v>7912</v>
      </c>
      <c r="Y12" s="52">
        <v>9187</v>
      </c>
      <c r="Z12" s="52">
        <v>9644</v>
      </c>
      <c r="AA12" s="52">
        <v>8539</v>
      </c>
      <c r="AB12" s="52">
        <v>8992</v>
      </c>
      <c r="AC12" s="52">
        <v>9486</v>
      </c>
      <c r="AD12" s="52">
        <v>9337</v>
      </c>
      <c r="AE12" s="52">
        <v>8011</v>
      </c>
      <c r="AF12" s="52">
        <v>8959</v>
      </c>
      <c r="AG12" s="52">
        <v>9115</v>
      </c>
      <c r="AH12" s="52">
        <v>9381</v>
      </c>
      <c r="AI12" s="52">
        <v>8237</v>
      </c>
      <c r="AJ12" s="52">
        <v>8764</v>
      </c>
      <c r="AK12" s="52">
        <v>8973</v>
      </c>
      <c r="AL12" s="52">
        <v>9206</v>
      </c>
      <c r="AM12" s="52">
        <v>8304</v>
      </c>
      <c r="AN12" s="9"/>
    </row>
    <row r="13" spans="1:40" ht="13" customHeight="1">
      <c r="A13" s="61" t="s">
        <v>245</v>
      </c>
      <c r="B13" s="61" t="s">
        <v>85</v>
      </c>
      <c r="C13" s="52">
        <v>3590</v>
      </c>
      <c r="D13" s="52">
        <v>3842</v>
      </c>
      <c r="E13" s="52">
        <v>3331</v>
      </c>
      <c r="F13" s="52">
        <v>4217</v>
      </c>
      <c r="G13" s="52">
        <v>3635</v>
      </c>
      <c r="H13" s="52">
        <v>3578</v>
      </c>
      <c r="I13" s="52">
        <v>3457</v>
      </c>
      <c r="J13" s="52">
        <v>3591</v>
      </c>
      <c r="K13" s="52">
        <v>2965</v>
      </c>
      <c r="L13" s="52">
        <v>3076</v>
      </c>
      <c r="M13" s="52">
        <v>3839</v>
      </c>
      <c r="N13" s="52">
        <v>3588</v>
      </c>
      <c r="O13" s="52">
        <v>3633</v>
      </c>
      <c r="P13" s="52">
        <v>3542</v>
      </c>
      <c r="Q13" s="52">
        <v>3797</v>
      </c>
      <c r="R13" s="52">
        <v>3550</v>
      </c>
      <c r="S13" s="52">
        <v>3187</v>
      </c>
      <c r="T13" s="52">
        <v>3165</v>
      </c>
      <c r="U13" s="52">
        <v>2834</v>
      </c>
      <c r="V13" s="52">
        <v>2822</v>
      </c>
      <c r="W13" s="52">
        <v>2673</v>
      </c>
      <c r="X13" s="52">
        <v>2660</v>
      </c>
      <c r="Y13" s="52">
        <v>2459</v>
      </c>
      <c r="Z13" s="52">
        <v>2681</v>
      </c>
      <c r="AA13" s="52">
        <v>3079</v>
      </c>
      <c r="AB13" s="52">
        <v>3200</v>
      </c>
      <c r="AC13" s="52">
        <v>3266</v>
      </c>
      <c r="AD13" s="52">
        <v>2946</v>
      </c>
      <c r="AE13" s="52">
        <v>2805</v>
      </c>
      <c r="AF13" s="52">
        <v>3949</v>
      </c>
      <c r="AG13" s="52">
        <v>2912</v>
      </c>
      <c r="AH13" s="52">
        <v>2496</v>
      </c>
      <c r="AI13" s="52">
        <v>2600</v>
      </c>
      <c r="AJ13" s="52">
        <v>2788</v>
      </c>
      <c r="AK13" s="52">
        <v>2851</v>
      </c>
      <c r="AL13" s="52">
        <v>3439</v>
      </c>
      <c r="AM13" s="52">
        <v>3105</v>
      </c>
      <c r="AN13" s="9"/>
    </row>
    <row r="14" spans="1:40" ht="13" customHeight="1">
      <c r="A14" s="61" t="s">
        <v>246</v>
      </c>
      <c r="B14" s="61" t="s">
        <v>64</v>
      </c>
      <c r="C14" s="52">
        <v>2637</v>
      </c>
      <c r="D14" s="52">
        <v>4025</v>
      </c>
      <c r="E14" s="52">
        <v>2697</v>
      </c>
      <c r="F14" s="52">
        <v>2531</v>
      </c>
      <c r="G14" s="52">
        <v>1923</v>
      </c>
      <c r="H14" s="52">
        <v>2145</v>
      </c>
      <c r="I14" s="52">
        <v>1921</v>
      </c>
      <c r="J14" s="52">
        <v>2981</v>
      </c>
      <c r="K14" s="52">
        <v>3911</v>
      </c>
      <c r="L14" s="52">
        <v>3247</v>
      </c>
      <c r="M14" s="52">
        <v>2725</v>
      </c>
      <c r="N14" s="52">
        <v>3964</v>
      </c>
      <c r="O14" s="52">
        <v>2906</v>
      </c>
      <c r="P14" s="52">
        <v>2898</v>
      </c>
      <c r="Q14" s="52">
        <v>2721</v>
      </c>
      <c r="R14" s="52">
        <v>3162</v>
      </c>
      <c r="S14" s="52">
        <v>2612</v>
      </c>
      <c r="T14" s="52">
        <v>2964</v>
      </c>
      <c r="U14" s="52">
        <v>1760</v>
      </c>
      <c r="V14" s="52">
        <v>1705</v>
      </c>
      <c r="W14" s="52">
        <v>1214</v>
      </c>
      <c r="X14" s="52">
        <v>1191</v>
      </c>
      <c r="Y14" s="52">
        <v>1032</v>
      </c>
      <c r="Z14" s="52">
        <v>1080</v>
      </c>
      <c r="AA14" s="52">
        <v>892</v>
      </c>
      <c r="AB14" s="52">
        <v>1003</v>
      </c>
      <c r="AC14" s="52">
        <v>867</v>
      </c>
      <c r="AD14" s="52">
        <v>905</v>
      </c>
      <c r="AE14" s="52">
        <v>911</v>
      </c>
      <c r="AF14" s="52">
        <v>1007</v>
      </c>
      <c r="AG14" s="52">
        <v>1023</v>
      </c>
      <c r="AH14" s="52">
        <v>1147</v>
      </c>
      <c r="AI14" s="52">
        <v>1174</v>
      </c>
      <c r="AJ14" s="52">
        <v>1395</v>
      </c>
      <c r="AK14" s="52">
        <v>1278</v>
      </c>
      <c r="AL14" s="52">
        <v>1172</v>
      </c>
      <c r="AM14" s="52">
        <v>1129</v>
      </c>
      <c r="AN14" s="9"/>
    </row>
    <row r="15" spans="1:40" ht="13" customHeight="1">
      <c r="A15" s="61" t="s">
        <v>247</v>
      </c>
      <c r="B15" s="61" t="s">
        <v>86</v>
      </c>
      <c r="C15" s="55" t="s">
        <v>97</v>
      </c>
      <c r="D15" s="55" t="s">
        <v>97</v>
      </c>
      <c r="E15" s="55" t="s">
        <v>97</v>
      </c>
      <c r="F15" s="55" t="s">
        <v>97</v>
      </c>
      <c r="G15" s="55" t="s">
        <v>97</v>
      </c>
      <c r="H15" s="55" t="s">
        <v>97</v>
      </c>
      <c r="I15" s="55" t="s">
        <v>97</v>
      </c>
      <c r="J15" s="52">
        <v>3761</v>
      </c>
      <c r="K15" s="52">
        <v>1994</v>
      </c>
      <c r="L15" s="52">
        <v>2957</v>
      </c>
      <c r="M15" s="52">
        <v>2664</v>
      </c>
      <c r="N15" s="52">
        <v>3002</v>
      </c>
      <c r="O15" s="52">
        <v>2592</v>
      </c>
      <c r="P15" s="52">
        <v>3141</v>
      </c>
      <c r="Q15" s="52">
        <v>3460</v>
      </c>
      <c r="R15" s="52">
        <v>3612</v>
      </c>
      <c r="S15" s="52">
        <v>2530</v>
      </c>
      <c r="T15" s="52">
        <v>2108</v>
      </c>
      <c r="U15" s="52">
        <v>2101</v>
      </c>
      <c r="V15" s="52">
        <v>2012</v>
      </c>
      <c r="W15" s="52">
        <v>2375</v>
      </c>
      <c r="X15" s="52">
        <v>2350</v>
      </c>
      <c r="Y15" s="52">
        <v>2006</v>
      </c>
      <c r="Z15" s="52">
        <v>2453</v>
      </c>
      <c r="AA15" s="52">
        <v>2386</v>
      </c>
      <c r="AB15" s="52">
        <v>2231</v>
      </c>
      <c r="AC15" s="52">
        <v>1749</v>
      </c>
      <c r="AD15" s="52">
        <v>2291</v>
      </c>
      <c r="AE15" s="52">
        <v>2159</v>
      </c>
      <c r="AF15" s="52">
        <v>2076</v>
      </c>
      <c r="AG15" s="52">
        <v>1777</v>
      </c>
      <c r="AH15" s="52">
        <v>2017</v>
      </c>
      <c r="AI15" s="52">
        <v>1851</v>
      </c>
      <c r="AJ15" s="52">
        <v>2238</v>
      </c>
      <c r="AK15" s="52">
        <v>2034</v>
      </c>
      <c r="AL15" s="52">
        <v>2005</v>
      </c>
      <c r="AM15" s="52">
        <v>1945</v>
      </c>
      <c r="AN15" s="9"/>
    </row>
    <row r="16" spans="1:40" ht="13" customHeight="1">
      <c r="A16" s="61" t="s">
        <v>248</v>
      </c>
      <c r="B16" s="61" t="s">
        <v>87</v>
      </c>
      <c r="C16" s="55" t="s">
        <v>97</v>
      </c>
      <c r="D16" s="55" t="s">
        <v>97</v>
      </c>
      <c r="E16" s="55" t="s">
        <v>97</v>
      </c>
      <c r="F16" s="55" t="s">
        <v>97</v>
      </c>
      <c r="G16" s="55" t="s">
        <v>97</v>
      </c>
      <c r="H16" s="55" t="s">
        <v>97</v>
      </c>
      <c r="I16" s="55" t="s">
        <v>97</v>
      </c>
      <c r="J16" s="55" t="s">
        <v>97</v>
      </c>
      <c r="K16" s="55" t="s">
        <v>97</v>
      </c>
      <c r="L16" s="55" t="s">
        <v>97</v>
      </c>
      <c r="M16" s="55" t="s">
        <v>97</v>
      </c>
      <c r="N16" s="52">
        <v>4618</v>
      </c>
      <c r="O16" s="52">
        <v>1259</v>
      </c>
      <c r="P16" s="52">
        <v>1487</v>
      </c>
      <c r="Q16" s="52">
        <v>1408</v>
      </c>
      <c r="R16" s="52">
        <v>1525</v>
      </c>
      <c r="S16" s="52">
        <v>1469</v>
      </c>
      <c r="T16" s="52">
        <v>1626</v>
      </c>
      <c r="U16" s="52">
        <v>1610</v>
      </c>
      <c r="V16" s="52">
        <v>1617</v>
      </c>
      <c r="W16" s="52">
        <v>1404</v>
      </c>
      <c r="X16" s="52">
        <v>884</v>
      </c>
      <c r="Y16" s="52">
        <v>1163</v>
      </c>
      <c r="Z16" s="52">
        <v>1355</v>
      </c>
      <c r="AA16" s="52">
        <v>1453</v>
      </c>
      <c r="AB16" s="52">
        <v>1532</v>
      </c>
      <c r="AC16" s="52">
        <v>1477</v>
      </c>
      <c r="AD16" s="52">
        <v>1634</v>
      </c>
      <c r="AE16" s="52">
        <v>1555</v>
      </c>
      <c r="AF16" s="52">
        <v>1733</v>
      </c>
      <c r="AG16" s="52">
        <v>1823</v>
      </c>
      <c r="AH16" s="52">
        <v>1868</v>
      </c>
      <c r="AI16" s="52">
        <v>1886</v>
      </c>
      <c r="AJ16" s="52">
        <v>1908</v>
      </c>
      <c r="AK16" s="52">
        <v>2002</v>
      </c>
      <c r="AL16" s="52">
        <v>2098</v>
      </c>
      <c r="AM16" s="52">
        <v>2162</v>
      </c>
      <c r="AN16" s="9"/>
    </row>
    <row r="17" spans="1:40" ht="13" customHeight="1">
      <c r="A17" s="61" t="s">
        <v>249</v>
      </c>
      <c r="B17" s="61" t="s">
        <v>151</v>
      </c>
      <c r="C17" s="55" t="s">
        <v>97</v>
      </c>
      <c r="D17" s="55" t="s">
        <v>97</v>
      </c>
      <c r="E17" s="55" t="s">
        <v>97</v>
      </c>
      <c r="F17" s="55" t="s">
        <v>97</v>
      </c>
      <c r="G17" s="55" t="s">
        <v>97</v>
      </c>
      <c r="H17" s="55" t="s">
        <v>97</v>
      </c>
      <c r="I17" s="55" t="s">
        <v>97</v>
      </c>
      <c r="J17" s="55" t="s">
        <v>97</v>
      </c>
      <c r="K17" s="55" t="s">
        <v>97</v>
      </c>
      <c r="L17" s="55" t="s">
        <v>97</v>
      </c>
      <c r="M17" s="55" t="s">
        <v>97</v>
      </c>
      <c r="N17" s="55" t="s">
        <v>97</v>
      </c>
      <c r="O17" s="52">
        <v>3218</v>
      </c>
      <c r="P17" s="52">
        <v>4473</v>
      </c>
      <c r="Q17" s="52">
        <v>5078</v>
      </c>
      <c r="R17" s="52">
        <v>6271</v>
      </c>
      <c r="S17" s="52">
        <v>10495</v>
      </c>
      <c r="T17" s="52">
        <v>9033</v>
      </c>
      <c r="U17" s="52">
        <v>12015</v>
      </c>
      <c r="V17" s="52">
        <v>13781</v>
      </c>
      <c r="W17" s="52">
        <v>13261</v>
      </c>
      <c r="X17" s="52">
        <v>11052</v>
      </c>
      <c r="Y17" s="52">
        <v>12866</v>
      </c>
      <c r="Z17" s="52">
        <v>15031</v>
      </c>
      <c r="AA17" s="52">
        <v>16864</v>
      </c>
      <c r="AB17" s="52">
        <v>17707</v>
      </c>
      <c r="AC17" s="52">
        <v>18337</v>
      </c>
      <c r="AD17" s="52">
        <v>20419</v>
      </c>
      <c r="AE17" s="52">
        <v>20175</v>
      </c>
      <c r="AF17" s="52">
        <v>19442</v>
      </c>
      <c r="AG17" s="52">
        <v>20505</v>
      </c>
      <c r="AH17" s="52">
        <v>20773</v>
      </c>
      <c r="AI17" s="52">
        <v>21925</v>
      </c>
      <c r="AJ17" s="52">
        <v>21672</v>
      </c>
      <c r="AK17" s="52">
        <v>22033</v>
      </c>
      <c r="AL17" s="52">
        <v>22579</v>
      </c>
      <c r="AM17" s="52">
        <v>22842</v>
      </c>
      <c r="AN17" s="9"/>
    </row>
    <row r="18" spans="1:40" ht="13" customHeight="1">
      <c r="A18" s="61" t="s">
        <v>250</v>
      </c>
      <c r="B18" s="61" t="s">
        <v>88</v>
      </c>
      <c r="C18" s="52">
        <v>9525</v>
      </c>
      <c r="D18" s="52">
        <v>14419</v>
      </c>
      <c r="E18" s="52">
        <v>14136</v>
      </c>
      <c r="F18" s="52">
        <v>13110</v>
      </c>
      <c r="G18" s="52">
        <v>16161</v>
      </c>
      <c r="H18" s="52">
        <v>9358</v>
      </c>
      <c r="I18" s="52">
        <v>16004</v>
      </c>
      <c r="J18" s="52">
        <v>14617</v>
      </c>
      <c r="K18" s="52">
        <v>10485</v>
      </c>
      <c r="L18" s="52">
        <v>7447</v>
      </c>
      <c r="M18" s="52">
        <v>9067</v>
      </c>
      <c r="N18" s="52">
        <v>3905</v>
      </c>
      <c r="O18" s="52">
        <v>3920</v>
      </c>
      <c r="P18" s="52">
        <v>3058</v>
      </c>
      <c r="Q18" s="52">
        <v>4817</v>
      </c>
      <c r="R18" s="52">
        <v>6223</v>
      </c>
      <c r="S18" s="52">
        <v>6693</v>
      </c>
      <c r="T18" s="52">
        <v>7570</v>
      </c>
      <c r="U18" s="52">
        <v>9223</v>
      </c>
      <c r="V18" s="52">
        <v>8719</v>
      </c>
      <c r="W18" s="52">
        <v>8406</v>
      </c>
      <c r="X18" s="52">
        <v>10710</v>
      </c>
      <c r="Y18" s="52">
        <v>8743</v>
      </c>
      <c r="Z18" s="52">
        <v>12284</v>
      </c>
      <c r="AA18" s="52">
        <v>12703</v>
      </c>
      <c r="AB18" s="52">
        <v>13674</v>
      </c>
      <c r="AC18" s="52">
        <v>12931</v>
      </c>
      <c r="AD18" s="52">
        <v>18330</v>
      </c>
      <c r="AE18" s="52">
        <v>14035</v>
      </c>
      <c r="AF18" s="52">
        <v>14357</v>
      </c>
      <c r="AG18" s="52">
        <v>14944</v>
      </c>
      <c r="AH18" s="52">
        <v>13991</v>
      </c>
      <c r="AI18" s="52">
        <v>15751</v>
      </c>
      <c r="AJ18" s="52">
        <v>11011</v>
      </c>
      <c r="AK18" s="52">
        <v>11631</v>
      </c>
      <c r="AL18" s="52">
        <v>11721</v>
      </c>
      <c r="AM18" s="52">
        <v>13390</v>
      </c>
      <c r="AN18" s="9"/>
    </row>
    <row r="19" spans="1:40" ht="13" customHeight="1" thickBot="1">
      <c r="A19" s="27" t="s">
        <v>251</v>
      </c>
      <c r="B19" s="27" t="s">
        <v>4</v>
      </c>
      <c r="C19" s="30">
        <f t="shared" ref="C19:N19" si="7">SUM(C20:C29)</f>
        <v>-42799</v>
      </c>
      <c r="D19" s="30">
        <f t="shared" si="7"/>
        <v>-54485</v>
      </c>
      <c r="E19" s="30">
        <f t="shared" si="7"/>
        <v>-55868</v>
      </c>
      <c r="F19" s="30">
        <f t="shared" si="7"/>
        <v>-60910</v>
      </c>
      <c r="G19" s="30">
        <f t="shared" si="7"/>
        <v>-50709</v>
      </c>
      <c r="H19" s="30">
        <f t="shared" si="7"/>
        <v>-60976</v>
      </c>
      <c r="I19" s="30">
        <f t="shared" si="7"/>
        <v>-59329</v>
      </c>
      <c r="J19" s="30">
        <f t="shared" si="7"/>
        <v>-88553</v>
      </c>
      <c r="K19" s="30">
        <f t="shared" si="7"/>
        <v>-78059</v>
      </c>
      <c r="L19" s="30">
        <f t="shared" si="7"/>
        <v>-91077</v>
      </c>
      <c r="M19" s="30">
        <f t="shared" si="7"/>
        <v>-104094</v>
      </c>
      <c r="N19" s="30">
        <f t="shared" si="7"/>
        <v>-101622</v>
      </c>
      <c r="O19" s="30">
        <f>SUM(O20:O29)</f>
        <v>-87495</v>
      </c>
      <c r="P19" s="30">
        <f t="shared" ref="P19:U19" si="8">SUM(P20:P29)</f>
        <v>-94428</v>
      </c>
      <c r="Q19" s="30">
        <f t="shared" si="8"/>
        <v>-104905</v>
      </c>
      <c r="R19" s="30">
        <f t="shared" si="8"/>
        <v>-102641</v>
      </c>
      <c r="S19" s="30">
        <f t="shared" si="8"/>
        <v>-97084</v>
      </c>
      <c r="T19" s="30">
        <f t="shared" si="8"/>
        <v>-127451</v>
      </c>
      <c r="U19" s="30">
        <f t="shared" si="8"/>
        <v>-131965</v>
      </c>
      <c r="V19" s="30">
        <v>-142494</v>
      </c>
      <c r="W19" s="30">
        <f>SUM(W20:W29)</f>
        <v>-134176</v>
      </c>
      <c r="X19" s="30">
        <f>SUM(X20:X29)</f>
        <v>-139666</v>
      </c>
      <c r="Y19" s="30">
        <v>-160326</v>
      </c>
      <c r="Z19" s="30">
        <f t="shared" ref="Z19:AE19" si="9">SUM(Z20:Z29)</f>
        <v>-145735</v>
      </c>
      <c r="AA19" s="30">
        <f t="shared" si="9"/>
        <v>-138688</v>
      </c>
      <c r="AB19" s="30">
        <f t="shared" si="9"/>
        <v>-161822</v>
      </c>
      <c r="AC19" s="30">
        <f t="shared" si="9"/>
        <v>-190777</v>
      </c>
      <c r="AD19" s="30">
        <f t="shared" si="9"/>
        <v>-183479</v>
      </c>
      <c r="AE19" s="30">
        <f t="shared" si="9"/>
        <v>-180742</v>
      </c>
      <c r="AF19" s="30">
        <f t="shared" ref="AF19:AG19" si="10">SUM(AF20:AF29)</f>
        <v>-211816</v>
      </c>
      <c r="AG19" s="30">
        <f t="shared" si="10"/>
        <v>-229013</v>
      </c>
      <c r="AH19" s="30">
        <f t="shared" ref="AH19:AI19" si="11">SUM(AH20:AH29)</f>
        <v>-218915</v>
      </c>
      <c r="AI19" s="30">
        <f t="shared" si="11"/>
        <v>-211808</v>
      </c>
      <c r="AJ19" s="30">
        <f t="shared" ref="AJ19:AK19" si="12">SUM(AJ20:AJ29)</f>
        <v>-250499</v>
      </c>
      <c r="AK19" s="30">
        <f t="shared" si="12"/>
        <v>-265733</v>
      </c>
      <c r="AL19" s="30">
        <f t="shared" ref="AL19:AM19" si="13">SUM(AL20:AL29)</f>
        <v>-236525</v>
      </c>
      <c r="AM19" s="30">
        <f t="shared" si="13"/>
        <v>-239353</v>
      </c>
      <c r="AN19" s="9"/>
    </row>
    <row r="20" spans="1:40" ht="13" customHeight="1">
      <c r="A20" s="61" t="s">
        <v>252</v>
      </c>
      <c r="B20" s="150" t="s">
        <v>89</v>
      </c>
      <c r="C20" s="52">
        <v>-13457</v>
      </c>
      <c r="D20" s="52">
        <v>-14618</v>
      </c>
      <c r="E20" s="52">
        <v>-16206</v>
      </c>
      <c r="F20" s="52">
        <v>-16909</v>
      </c>
      <c r="G20" s="52">
        <v>-15056</v>
      </c>
      <c r="H20" s="52">
        <v>-17809</v>
      </c>
      <c r="I20" s="52">
        <v>-17973</v>
      </c>
      <c r="J20" s="52">
        <v>-32772</v>
      </c>
      <c r="K20" s="52">
        <v>-31889</v>
      </c>
      <c r="L20" s="52">
        <v>-31679</v>
      </c>
      <c r="M20" s="52">
        <v>-51575</v>
      </c>
      <c r="N20" s="52">
        <v>-39699</v>
      </c>
      <c r="O20" s="52">
        <v>-43856</v>
      </c>
      <c r="P20" s="52">
        <v>-44371</v>
      </c>
      <c r="Q20" s="52">
        <v>-59775</v>
      </c>
      <c r="R20" s="52">
        <v>-42450</v>
      </c>
      <c r="S20" s="52">
        <v>-50251</v>
      </c>
      <c r="T20" s="52">
        <v>-77721</v>
      </c>
      <c r="U20" s="52">
        <v>-83316</v>
      </c>
      <c r="V20" s="52">
        <v>-74263</v>
      </c>
      <c r="W20" s="52">
        <v>-81459</v>
      </c>
      <c r="X20" s="52">
        <v>-85691</v>
      </c>
      <c r="Y20" s="52">
        <v>-105309</v>
      </c>
      <c r="Z20" s="52">
        <v>-97361</v>
      </c>
      <c r="AA20" s="52">
        <v>-90729</v>
      </c>
      <c r="AB20" s="52">
        <v>-110726</v>
      </c>
      <c r="AC20" s="52">
        <v>-140799</v>
      </c>
      <c r="AD20" s="52">
        <v>-132179</v>
      </c>
      <c r="AE20" s="52">
        <v>-126713</v>
      </c>
      <c r="AF20" s="52">
        <v>-160030</v>
      </c>
      <c r="AG20" s="52">
        <v>-176961</v>
      </c>
      <c r="AH20" s="52">
        <v>-164886</v>
      </c>
      <c r="AI20" s="52">
        <v>-161922</v>
      </c>
      <c r="AJ20" s="52">
        <v>-198446</v>
      </c>
      <c r="AK20" s="52">
        <v>-214108</v>
      </c>
      <c r="AL20" s="52">
        <v>-183297</v>
      </c>
      <c r="AM20" s="52">
        <v>-186592</v>
      </c>
      <c r="AN20" s="9"/>
    </row>
    <row r="21" spans="1:40" ht="13" customHeight="1">
      <c r="A21" s="61" t="s">
        <v>253</v>
      </c>
      <c r="B21" s="61" t="s">
        <v>90</v>
      </c>
      <c r="C21" s="52">
        <v>-4811</v>
      </c>
      <c r="D21" s="52">
        <v>-7672</v>
      </c>
      <c r="E21" s="52">
        <v>-7271</v>
      </c>
      <c r="F21" s="52">
        <v>-24106</v>
      </c>
      <c r="G21" s="52">
        <v>-6738</v>
      </c>
      <c r="H21" s="52">
        <v>-9801</v>
      </c>
      <c r="I21" s="52">
        <v>-7899</v>
      </c>
      <c r="J21" s="52">
        <v>-10573</v>
      </c>
      <c r="K21" s="52">
        <v>-7172</v>
      </c>
      <c r="L21" s="52">
        <v>-10898</v>
      </c>
      <c r="M21" s="52">
        <v>-9765</v>
      </c>
      <c r="N21" s="52">
        <v>-12011</v>
      </c>
      <c r="O21" s="52">
        <v>-6536</v>
      </c>
      <c r="P21" s="52">
        <v>-14370</v>
      </c>
      <c r="Q21" s="52">
        <v>-13817</v>
      </c>
      <c r="R21" s="52">
        <v>-18632</v>
      </c>
      <c r="S21" s="52">
        <v>-12719</v>
      </c>
      <c r="T21" s="52">
        <v>-15271</v>
      </c>
      <c r="U21" s="52">
        <v>-16758</v>
      </c>
      <c r="V21" s="52">
        <v>-23515</v>
      </c>
      <c r="W21" s="52">
        <v>-16150</v>
      </c>
      <c r="X21" s="52">
        <v>-19716</v>
      </c>
      <c r="Y21" s="52">
        <v>-15497</v>
      </c>
      <c r="Z21" s="52">
        <v>-13059</v>
      </c>
      <c r="AA21" s="52">
        <v>-14194</v>
      </c>
      <c r="AB21" s="52">
        <v>-15280</v>
      </c>
      <c r="AC21" s="52">
        <v>-15912</v>
      </c>
      <c r="AD21" s="52">
        <v>-15891</v>
      </c>
      <c r="AE21" s="52">
        <v>-15703</v>
      </c>
      <c r="AF21" s="52">
        <v>-15992</v>
      </c>
      <c r="AG21" s="52">
        <v>-13522</v>
      </c>
      <c r="AH21" s="52">
        <v>-13150</v>
      </c>
      <c r="AI21" s="52">
        <v>-12125</v>
      </c>
      <c r="AJ21" s="52">
        <v>-13088</v>
      </c>
      <c r="AK21" s="52">
        <v>-12884</v>
      </c>
      <c r="AL21" s="52">
        <v>-12957</v>
      </c>
      <c r="AM21" s="52">
        <v>-12333</v>
      </c>
      <c r="AN21" s="9"/>
    </row>
    <row r="22" spans="1:40" ht="13" customHeight="1">
      <c r="A22" s="61" t="s">
        <v>254</v>
      </c>
      <c r="B22" s="61" t="s">
        <v>91</v>
      </c>
      <c r="C22" s="52">
        <v>-6340</v>
      </c>
      <c r="D22" s="52">
        <v>-8078</v>
      </c>
      <c r="E22" s="52">
        <v>-7461</v>
      </c>
      <c r="F22" s="52">
        <v>-4003</v>
      </c>
      <c r="G22" s="52">
        <v>-7194</v>
      </c>
      <c r="H22" s="52">
        <v>-7107</v>
      </c>
      <c r="I22" s="52">
        <v>-8069</v>
      </c>
      <c r="J22" s="52">
        <v>-3586</v>
      </c>
      <c r="K22" s="52">
        <v>-5075</v>
      </c>
      <c r="L22" s="52">
        <v>-4658</v>
      </c>
      <c r="M22" s="52">
        <v>-5415</v>
      </c>
      <c r="N22" s="52">
        <v>-4250</v>
      </c>
      <c r="O22" s="52">
        <v>-4247</v>
      </c>
      <c r="P22" s="52">
        <v>-4284</v>
      </c>
      <c r="Q22" s="52">
        <v>-3944</v>
      </c>
      <c r="R22" s="52">
        <v>-3992</v>
      </c>
      <c r="S22" s="52">
        <v>-3707</v>
      </c>
      <c r="T22" s="52">
        <v>-3223</v>
      </c>
      <c r="U22" s="52">
        <v>-3726</v>
      </c>
      <c r="V22" s="52">
        <v>-3497</v>
      </c>
      <c r="W22" s="52">
        <v>-3789</v>
      </c>
      <c r="X22" s="52">
        <v>-3643</v>
      </c>
      <c r="Y22" s="52">
        <v>-2895</v>
      </c>
      <c r="Z22" s="52">
        <v>-3157</v>
      </c>
      <c r="AA22" s="52">
        <v>-3270</v>
      </c>
      <c r="AB22" s="52">
        <v>-3146</v>
      </c>
      <c r="AC22" s="52">
        <v>-3551</v>
      </c>
      <c r="AD22" s="52">
        <v>-3562</v>
      </c>
      <c r="AE22" s="52">
        <v>-3529</v>
      </c>
      <c r="AF22" s="52">
        <v>-3339</v>
      </c>
      <c r="AG22" s="52">
        <v>-3539</v>
      </c>
      <c r="AH22" s="52">
        <v>-3284</v>
      </c>
      <c r="AI22" s="52">
        <v>-3181</v>
      </c>
      <c r="AJ22" s="52">
        <v>-3121</v>
      </c>
      <c r="AK22" s="52">
        <v>-3156</v>
      </c>
      <c r="AL22" s="52">
        <v>-4074</v>
      </c>
      <c r="AM22" s="52">
        <v>-4951</v>
      </c>
      <c r="AN22" s="9"/>
    </row>
    <row r="23" spans="1:40" ht="13" customHeight="1">
      <c r="A23" s="61" t="s">
        <v>255</v>
      </c>
      <c r="B23" s="61" t="s">
        <v>92</v>
      </c>
      <c r="C23" s="52">
        <v>-3861</v>
      </c>
      <c r="D23" s="52">
        <v>-4381</v>
      </c>
      <c r="E23" s="52">
        <v>-4464</v>
      </c>
      <c r="F23" s="52">
        <v>-4807</v>
      </c>
      <c r="G23" s="52">
        <v>-5143</v>
      </c>
      <c r="H23" s="52">
        <v>-6269</v>
      </c>
      <c r="I23" s="52">
        <v>-6222</v>
      </c>
      <c r="J23" s="52">
        <v>-6557</v>
      </c>
      <c r="K23" s="52">
        <v>-6737</v>
      </c>
      <c r="L23" s="52">
        <v>-4880</v>
      </c>
      <c r="M23" s="52">
        <v>-3613</v>
      </c>
      <c r="N23" s="52">
        <v>-4158</v>
      </c>
      <c r="O23" s="52">
        <v>-3302</v>
      </c>
      <c r="P23" s="52">
        <v>-3928</v>
      </c>
      <c r="Q23" s="52">
        <v>-3981</v>
      </c>
      <c r="R23" s="52">
        <v>-4470</v>
      </c>
      <c r="S23" s="52">
        <v>-3936</v>
      </c>
      <c r="T23" s="52">
        <v>-4160</v>
      </c>
      <c r="U23" s="52">
        <v>-4053</v>
      </c>
      <c r="V23" s="52">
        <v>-4153</v>
      </c>
      <c r="W23" s="52">
        <v>-4748</v>
      </c>
      <c r="X23" s="52">
        <v>-3845</v>
      </c>
      <c r="Y23" s="52">
        <v>-4030</v>
      </c>
      <c r="Z23" s="52">
        <v>-4198</v>
      </c>
      <c r="AA23" s="52">
        <v>-4012</v>
      </c>
      <c r="AB23" s="52">
        <v>-3855</v>
      </c>
      <c r="AC23" s="52">
        <v>-3920</v>
      </c>
      <c r="AD23" s="52">
        <v>-3857</v>
      </c>
      <c r="AE23" s="52">
        <v>-4289</v>
      </c>
      <c r="AF23" s="52">
        <v>-4374</v>
      </c>
      <c r="AG23" s="52">
        <v>-4671</v>
      </c>
      <c r="AH23" s="52">
        <v>-4897</v>
      </c>
      <c r="AI23" s="52">
        <v>-6912</v>
      </c>
      <c r="AJ23" s="52">
        <v>-5659</v>
      </c>
      <c r="AK23" s="52">
        <v>-5935</v>
      </c>
      <c r="AL23" s="52">
        <v>-5821</v>
      </c>
      <c r="AM23" s="52">
        <v>-6044</v>
      </c>
      <c r="AN23" s="9"/>
    </row>
    <row r="24" spans="1:40" ht="13" customHeight="1">
      <c r="A24" s="61" t="s">
        <v>256</v>
      </c>
      <c r="B24" s="61" t="s">
        <v>93</v>
      </c>
      <c r="C24" s="52">
        <v>-5136</v>
      </c>
      <c r="D24" s="52">
        <v>-6182</v>
      </c>
      <c r="E24" s="52">
        <v>-6350</v>
      </c>
      <c r="F24" s="52">
        <v>-6588</v>
      </c>
      <c r="G24" s="52">
        <v>-5259</v>
      </c>
      <c r="H24" s="52">
        <v>-5092</v>
      </c>
      <c r="I24" s="52">
        <v>-5451</v>
      </c>
      <c r="J24" s="52">
        <v>-6534</v>
      </c>
      <c r="K24" s="52">
        <v>-5135</v>
      </c>
      <c r="L24" s="52">
        <v>-6118</v>
      </c>
      <c r="M24" s="52">
        <v>-7301</v>
      </c>
      <c r="N24" s="52">
        <v>-9762</v>
      </c>
      <c r="O24" s="52">
        <v>-6671</v>
      </c>
      <c r="P24" s="52">
        <v>-5724</v>
      </c>
      <c r="Q24" s="52">
        <v>-7158</v>
      </c>
      <c r="R24" s="52">
        <v>-6301</v>
      </c>
      <c r="S24" s="52">
        <v>-5521</v>
      </c>
      <c r="T24" s="52">
        <v>-5841</v>
      </c>
      <c r="U24" s="52">
        <v>-6649</v>
      </c>
      <c r="V24" s="52">
        <v>-5641</v>
      </c>
      <c r="W24" s="52">
        <v>-5994</v>
      </c>
      <c r="X24" s="52">
        <v>-4740</v>
      </c>
      <c r="Y24" s="52">
        <v>-7578</v>
      </c>
      <c r="Z24" s="52">
        <v>-4837</v>
      </c>
      <c r="AA24" s="52">
        <v>-3767</v>
      </c>
      <c r="AB24" s="52">
        <v>-7657</v>
      </c>
      <c r="AC24" s="52">
        <v>-6442</v>
      </c>
      <c r="AD24" s="52">
        <v>-5986</v>
      </c>
      <c r="AE24" s="52">
        <v>-5687</v>
      </c>
      <c r="AF24" s="52">
        <v>-6901</v>
      </c>
      <c r="AG24" s="52">
        <v>-6938</v>
      </c>
      <c r="AH24" s="52">
        <v>-6641</v>
      </c>
      <c r="AI24" s="52">
        <v>-6751</v>
      </c>
      <c r="AJ24" s="52">
        <v>-6623</v>
      </c>
      <c r="AK24" s="52">
        <v>-7005</v>
      </c>
      <c r="AL24" s="52">
        <v>-7205</v>
      </c>
      <c r="AM24" s="52">
        <v>-6406</v>
      </c>
      <c r="AN24" s="9"/>
    </row>
    <row r="25" spans="1:40" ht="13" customHeight="1">
      <c r="A25" s="61" t="s">
        <v>257</v>
      </c>
      <c r="B25" s="150" t="s">
        <v>94</v>
      </c>
      <c r="C25" s="52">
        <v>-2013</v>
      </c>
      <c r="D25" s="52">
        <v>-2739</v>
      </c>
      <c r="E25" s="52">
        <v>-2701</v>
      </c>
      <c r="F25" s="52">
        <v>-2057</v>
      </c>
      <c r="G25" s="52">
        <v>-2259</v>
      </c>
      <c r="H25" s="52">
        <v>-2953</v>
      </c>
      <c r="I25" s="52">
        <v>-2216</v>
      </c>
      <c r="J25" s="52">
        <v>-4684</v>
      </c>
      <c r="K25" s="52">
        <v>-4382</v>
      </c>
      <c r="L25" s="52">
        <v>-10840</v>
      </c>
      <c r="M25" s="52">
        <v>-7893</v>
      </c>
      <c r="N25" s="52">
        <v>-8354</v>
      </c>
      <c r="O25" s="52">
        <v>-7719</v>
      </c>
      <c r="P25" s="52">
        <v>-5913</v>
      </c>
      <c r="Q25" s="52">
        <v>-6573</v>
      </c>
      <c r="R25" s="52">
        <v>-8792</v>
      </c>
      <c r="S25" s="52">
        <v>-7156</v>
      </c>
      <c r="T25" s="52">
        <v>-5782</v>
      </c>
      <c r="U25" s="52">
        <v>-5900</v>
      </c>
      <c r="V25" s="52">
        <v>-6734</v>
      </c>
      <c r="W25" s="52">
        <v>-6324</v>
      </c>
      <c r="X25" s="52">
        <v>-6435</v>
      </c>
      <c r="Y25" s="52">
        <v>-6554</v>
      </c>
      <c r="Z25" s="52">
        <v>-5655</v>
      </c>
      <c r="AA25" s="52">
        <v>-4948</v>
      </c>
      <c r="AB25" s="52">
        <v>-7127</v>
      </c>
      <c r="AC25" s="52">
        <v>-5189</v>
      </c>
      <c r="AD25" s="52">
        <v>-6723</v>
      </c>
      <c r="AE25" s="52">
        <v>-8494</v>
      </c>
      <c r="AF25" s="52">
        <v>-4468</v>
      </c>
      <c r="AG25" s="52">
        <v>-6573</v>
      </c>
      <c r="AH25" s="52">
        <v>-6258</v>
      </c>
      <c r="AI25" s="52">
        <v>-5667</v>
      </c>
      <c r="AJ25" s="52">
        <v>-6080</v>
      </c>
      <c r="AK25" s="52">
        <v>-6560</v>
      </c>
      <c r="AL25" s="52">
        <v>-6236</v>
      </c>
      <c r="AM25" s="52">
        <v>-7012</v>
      </c>
      <c r="AN25" s="9"/>
    </row>
    <row r="26" spans="1:40" ht="13" customHeight="1">
      <c r="A26" s="61" t="s">
        <v>240</v>
      </c>
      <c r="B26" s="61" t="s">
        <v>80</v>
      </c>
      <c r="C26" s="52">
        <v>-837</v>
      </c>
      <c r="D26" s="52">
        <v>-1005</v>
      </c>
      <c r="E26" s="52">
        <v>-1077</v>
      </c>
      <c r="F26" s="52">
        <v>-969</v>
      </c>
      <c r="G26" s="52">
        <v>-688</v>
      </c>
      <c r="H26" s="52">
        <v>-824</v>
      </c>
      <c r="I26" s="52">
        <v>-1162</v>
      </c>
      <c r="J26" s="52">
        <v>-1025</v>
      </c>
      <c r="K26" s="52">
        <v>-983</v>
      </c>
      <c r="L26" s="52">
        <v>-1503</v>
      </c>
      <c r="M26" s="52">
        <v>-1264</v>
      </c>
      <c r="N26" s="52">
        <v>-1288</v>
      </c>
      <c r="O26" s="52">
        <v>-879</v>
      </c>
      <c r="P26" s="52">
        <v>-1103</v>
      </c>
      <c r="Q26" s="52">
        <v>-878</v>
      </c>
      <c r="R26" s="52">
        <v>-842</v>
      </c>
      <c r="S26" s="52">
        <v>-670</v>
      </c>
      <c r="T26" s="52">
        <v>-902</v>
      </c>
      <c r="U26" s="52">
        <v>-741</v>
      </c>
      <c r="V26" s="52">
        <v>-789</v>
      </c>
      <c r="W26" s="52">
        <v>-945</v>
      </c>
      <c r="X26" s="52">
        <v>-1627</v>
      </c>
      <c r="Y26" s="52">
        <v>-1693</v>
      </c>
      <c r="Z26" s="52">
        <v>-2138</v>
      </c>
      <c r="AA26" s="52">
        <v>-1980</v>
      </c>
      <c r="AB26" s="52">
        <v>-1561</v>
      </c>
      <c r="AC26" s="52">
        <v>-1188</v>
      </c>
      <c r="AD26" s="52">
        <v>-1628</v>
      </c>
      <c r="AE26" s="52">
        <v>-1509</v>
      </c>
      <c r="AF26" s="52">
        <v>-1887</v>
      </c>
      <c r="AG26" s="52">
        <v>-1265</v>
      </c>
      <c r="AH26" s="52">
        <v>-1367</v>
      </c>
      <c r="AI26" s="52">
        <v>-935</v>
      </c>
      <c r="AJ26" s="52">
        <v>-1325</v>
      </c>
      <c r="AK26" s="52">
        <v>-1183</v>
      </c>
      <c r="AL26" s="52">
        <v>-1267</v>
      </c>
      <c r="AM26" s="52">
        <v>-1254</v>
      </c>
      <c r="AN26" s="9"/>
    </row>
    <row r="27" spans="1:40" ht="13" customHeight="1">
      <c r="A27" s="61" t="s">
        <v>247</v>
      </c>
      <c r="B27" s="61" t="s">
        <v>86</v>
      </c>
      <c r="C27" s="55" t="s">
        <v>97</v>
      </c>
      <c r="D27" s="55" t="s">
        <v>97</v>
      </c>
      <c r="E27" s="55" t="s">
        <v>97</v>
      </c>
      <c r="F27" s="55" t="s">
        <v>97</v>
      </c>
      <c r="G27" s="55" t="s">
        <v>97</v>
      </c>
      <c r="H27" s="55" t="s">
        <v>97</v>
      </c>
      <c r="I27" s="55" t="s">
        <v>97</v>
      </c>
      <c r="J27" s="52">
        <v>-847</v>
      </c>
      <c r="K27" s="52">
        <v>-478</v>
      </c>
      <c r="L27" s="52">
        <v>-876</v>
      </c>
      <c r="M27" s="52">
        <v>-545</v>
      </c>
      <c r="N27" s="52">
        <v>-1259</v>
      </c>
      <c r="O27" s="52">
        <v>-385</v>
      </c>
      <c r="P27" s="52">
        <v>-673</v>
      </c>
      <c r="Q27" s="52">
        <v>-847</v>
      </c>
      <c r="R27" s="52">
        <v>-1264</v>
      </c>
      <c r="S27" s="52">
        <v>-369</v>
      </c>
      <c r="T27" s="52">
        <v>-586</v>
      </c>
      <c r="U27" s="52">
        <v>-506</v>
      </c>
      <c r="V27" s="52">
        <v>-774</v>
      </c>
      <c r="W27" s="52">
        <v>-25</v>
      </c>
      <c r="X27" s="52">
        <v>-41</v>
      </c>
      <c r="Y27" s="52">
        <v>-70</v>
      </c>
      <c r="Z27" s="52">
        <v>-21</v>
      </c>
      <c r="AA27" s="52">
        <v>-45</v>
      </c>
      <c r="AB27" s="52">
        <v>-2109</v>
      </c>
      <c r="AC27" s="52">
        <v>-811</v>
      </c>
      <c r="AD27" s="52">
        <v>-947</v>
      </c>
      <c r="AE27" s="52">
        <v>-735</v>
      </c>
      <c r="AF27" s="52">
        <v>-714</v>
      </c>
      <c r="AG27" s="52">
        <v>-681</v>
      </c>
      <c r="AH27" s="52">
        <v>-773</v>
      </c>
      <c r="AI27" s="52">
        <v>-1278</v>
      </c>
      <c r="AJ27" s="52">
        <v>-847</v>
      </c>
      <c r="AK27" s="52">
        <v>-996</v>
      </c>
      <c r="AL27" s="52">
        <v>-1127</v>
      </c>
      <c r="AM27" s="52">
        <v>-1054</v>
      </c>
      <c r="AN27" s="9"/>
    </row>
    <row r="28" spans="1:40" ht="13" customHeight="1">
      <c r="A28" s="61" t="s">
        <v>258</v>
      </c>
      <c r="B28" s="61" t="s">
        <v>95</v>
      </c>
      <c r="C28" s="55" t="s">
        <v>97</v>
      </c>
      <c r="D28" s="55" t="s">
        <v>97</v>
      </c>
      <c r="E28" s="55" t="s">
        <v>97</v>
      </c>
      <c r="F28" s="55" t="s">
        <v>97</v>
      </c>
      <c r="G28" s="55" t="s">
        <v>97</v>
      </c>
      <c r="H28" s="55" t="s">
        <v>97</v>
      </c>
      <c r="I28" s="55" t="s">
        <v>97</v>
      </c>
      <c r="J28" s="55" t="s">
        <v>97</v>
      </c>
      <c r="K28" s="55" t="s">
        <v>97</v>
      </c>
      <c r="L28" s="55" t="s">
        <v>97</v>
      </c>
      <c r="M28" s="55" t="s">
        <v>97</v>
      </c>
      <c r="N28" s="52">
        <v>-18189</v>
      </c>
      <c r="O28" s="52">
        <v>-3863</v>
      </c>
      <c r="P28" s="52">
        <v>-4772</v>
      </c>
      <c r="Q28" s="52">
        <v>-1255</v>
      </c>
      <c r="R28" s="52">
        <v>-5454</v>
      </c>
      <c r="S28" s="52">
        <v>-4416</v>
      </c>
      <c r="T28" s="52">
        <v>-4932</v>
      </c>
      <c r="U28" s="52">
        <v>162</v>
      </c>
      <c r="V28" s="52">
        <v>-8981</v>
      </c>
      <c r="W28" s="52">
        <v>-5416</v>
      </c>
      <c r="X28" s="52">
        <v>-2785</v>
      </c>
      <c r="Y28" s="52">
        <v>-4600</v>
      </c>
      <c r="Z28" s="52">
        <v>-4533</v>
      </c>
      <c r="AA28" s="52">
        <v>-5303</v>
      </c>
      <c r="AB28" s="52">
        <v>-4503</v>
      </c>
      <c r="AC28" s="52">
        <v>-4870</v>
      </c>
      <c r="AD28" s="52">
        <v>-5247</v>
      </c>
      <c r="AE28" s="52">
        <v>-5999</v>
      </c>
      <c r="AF28" s="52">
        <v>-5802</v>
      </c>
      <c r="AG28" s="52">
        <v>-5361</v>
      </c>
      <c r="AH28" s="52">
        <v>-6002</v>
      </c>
      <c r="AI28" s="52">
        <v>-5679</v>
      </c>
      <c r="AJ28" s="52">
        <v>-6802</v>
      </c>
      <c r="AK28" s="52">
        <v>-5923</v>
      </c>
      <c r="AL28" s="52">
        <v>-6116</v>
      </c>
      <c r="AM28" s="52">
        <v>-6450</v>
      </c>
      <c r="AN28" s="9"/>
    </row>
    <row r="29" spans="1:40" ht="13" customHeight="1">
      <c r="A29" s="61" t="s">
        <v>250</v>
      </c>
      <c r="B29" s="61" t="s">
        <v>88</v>
      </c>
      <c r="C29" s="52">
        <v>-6344</v>
      </c>
      <c r="D29" s="52">
        <v>-9810</v>
      </c>
      <c r="E29" s="52">
        <v>-10338</v>
      </c>
      <c r="F29" s="52">
        <v>-1471</v>
      </c>
      <c r="G29" s="52">
        <v>-8372</v>
      </c>
      <c r="H29" s="52">
        <v>-11121</v>
      </c>
      <c r="I29" s="52">
        <v>-10337</v>
      </c>
      <c r="J29" s="52">
        <v>-21975</v>
      </c>
      <c r="K29" s="52">
        <v>-16208</v>
      </c>
      <c r="L29" s="52">
        <v>-19625</v>
      </c>
      <c r="M29" s="52">
        <v>-16723</v>
      </c>
      <c r="N29" s="52">
        <v>-2652</v>
      </c>
      <c r="O29" s="52">
        <v>-10037</v>
      </c>
      <c r="P29" s="52">
        <v>-9290</v>
      </c>
      <c r="Q29" s="52">
        <v>-6677</v>
      </c>
      <c r="R29" s="52">
        <v>-10444</v>
      </c>
      <c r="S29" s="52">
        <v>-8339</v>
      </c>
      <c r="T29" s="52">
        <v>-9033</v>
      </c>
      <c r="U29" s="52">
        <v>-10478</v>
      </c>
      <c r="V29" s="52">
        <v>-14147</v>
      </c>
      <c r="W29" s="52">
        <v>-9326</v>
      </c>
      <c r="X29" s="52">
        <v>-11143</v>
      </c>
      <c r="Y29" s="52">
        <v>-12100</v>
      </c>
      <c r="Z29" s="52">
        <v>-10776</v>
      </c>
      <c r="AA29" s="52">
        <v>-10440</v>
      </c>
      <c r="AB29" s="52">
        <v>-5858</v>
      </c>
      <c r="AC29" s="52">
        <v>-8095</v>
      </c>
      <c r="AD29" s="52">
        <v>-7459</v>
      </c>
      <c r="AE29" s="52">
        <v>-8084</v>
      </c>
      <c r="AF29" s="52">
        <v>-8309</v>
      </c>
      <c r="AG29" s="52">
        <v>-9502</v>
      </c>
      <c r="AH29" s="52">
        <v>-11657</v>
      </c>
      <c r="AI29" s="52">
        <v>-7358</v>
      </c>
      <c r="AJ29" s="52">
        <v>-8508</v>
      </c>
      <c r="AK29" s="52">
        <v>-7983</v>
      </c>
      <c r="AL29" s="52">
        <v>-8425</v>
      </c>
      <c r="AM29" s="52">
        <v>-7257</v>
      </c>
      <c r="AN29" s="9"/>
    </row>
    <row r="30" spans="1:40" ht="13" customHeight="1" thickBot="1">
      <c r="A30" s="27" t="s">
        <v>259</v>
      </c>
      <c r="B30" s="27" t="s">
        <v>96</v>
      </c>
      <c r="C30" s="30">
        <f t="shared" ref="C30:N30" si="14">C4+C19</f>
        <v>92783</v>
      </c>
      <c r="D30" s="30">
        <f t="shared" si="14"/>
        <v>70326</v>
      </c>
      <c r="E30" s="30">
        <f t="shared" si="14"/>
        <v>89109</v>
      </c>
      <c r="F30" s="30">
        <f t="shared" si="14"/>
        <v>79450</v>
      </c>
      <c r="G30" s="30">
        <f t="shared" si="14"/>
        <v>87261</v>
      </c>
      <c r="H30" s="30">
        <f t="shared" si="14"/>
        <v>76158</v>
      </c>
      <c r="I30" s="30">
        <f t="shared" si="14"/>
        <v>76161</v>
      </c>
      <c r="J30" s="30">
        <f t="shared" si="14"/>
        <v>91554</v>
      </c>
      <c r="K30" s="30">
        <f t="shared" si="14"/>
        <v>111029</v>
      </c>
      <c r="L30" s="30">
        <f t="shared" si="14"/>
        <v>112198</v>
      </c>
      <c r="M30" s="30">
        <f t="shared" si="14"/>
        <v>97330</v>
      </c>
      <c r="N30" s="30">
        <f t="shared" si="14"/>
        <v>110194</v>
      </c>
      <c r="O30" s="30">
        <f t="shared" ref="O30:X30" si="15">O4+O19</f>
        <v>176874</v>
      </c>
      <c r="P30" s="30">
        <f t="shared" si="15"/>
        <v>170595</v>
      </c>
      <c r="Q30" s="30">
        <f t="shared" si="15"/>
        <v>178562</v>
      </c>
      <c r="R30" s="30">
        <f t="shared" si="15"/>
        <v>183968</v>
      </c>
      <c r="S30" s="30">
        <f t="shared" si="15"/>
        <v>169864</v>
      </c>
      <c r="T30" s="30">
        <f t="shared" si="15"/>
        <v>156810</v>
      </c>
      <c r="U30" s="30">
        <f t="shared" si="15"/>
        <v>170244</v>
      </c>
      <c r="V30" s="30">
        <f t="shared" si="15"/>
        <v>161140</v>
      </c>
      <c r="W30" s="30">
        <f t="shared" si="15"/>
        <v>135171</v>
      </c>
      <c r="X30" s="30">
        <f t="shared" si="15"/>
        <v>154584</v>
      </c>
      <c r="Y30" s="30">
        <v>169102</v>
      </c>
      <c r="Z30" s="30">
        <f t="shared" ref="Z30:AE30" si="16">Z4+Z19</f>
        <v>176989</v>
      </c>
      <c r="AA30" s="30">
        <f t="shared" si="16"/>
        <v>177710</v>
      </c>
      <c r="AB30" s="30">
        <f t="shared" si="16"/>
        <v>183378</v>
      </c>
      <c r="AC30" s="30">
        <f t="shared" si="16"/>
        <v>189588</v>
      </c>
      <c r="AD30" s="30">
        <f t="shared" si="16"/>
        <v>216072</v>
      </c>
      <c r="AE30" s="30">
        <f t="shared" si="16"/>
        <v>190677</v>
      </c>
      <c r="AF30" s="30">
        <f t="shared" ref="AF30:AG30" si="17">AF4+AF19</f>
        <v>220600</v>
      </c>
      <c r="AG30" s="30">
        <f t="shared" si="17"/>
        <v>201586</v>
      </c>
      <c r="AH30" s="30">
        <f t="shared" ref="AH30:AI30" si="18">AH4+AH19</f>
        <v>183206</v>
      </c>
      <c r="AI30" s="30">
        <f t="shared" si="18"/>
        <v>208551</v>
      </c>
      <c r="AJ30" s="30">
        <f t="shared" ref="AJ30:AK30" si="19">AJ4+AJ19</f>
        <v>216161</v>
      </c>
      <c r="AK30" s="30">
        <f t="shared" si="19"/>
        <v>172273</v>
      </c>
      <c r="AL30" s="30">
        <f t="shared" ref="AL30:AM30" si="20">AL4+AL19</f>
        <v>240518</v>
      </c>
      <c r="AM30" s="30">
        <f t="shared" si="20"/>
        <v>211339</v>
      </c>
      <c r="AN30" s="9"/>
    </row>
    <row r="31" spans="1:40">
      <c r="X31" s="9"/>
      <c r="AA31" s="9"/>
      <c r="AB31" s="9"/>
      <c r="AC31" s="9"/>
      <c r="AD31" s="9"/>
    </row>
    <row r="32" spans="1:40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O36"/>
  <sheetViews>
    <sheetView zoomScaleNormal="100" zoomScaleSheetLayoutView="90" workbookViewId="0">
      <pane xSplit="2" ySplit="2" topLeftCell="AF13" activePane="bottomRight" state="frozen"/>
      <selection sqref="A1:B1048576"/>
      <selection pane="topRight" sqref="A1:B1048576"/>
      <selection pane="bottomLeft" sqref="A1:B1048576"/>
      <selection pane="bottomRight" activeCell="AN22" sqref="AN22"/>
    </sheetView>
  </sheetViews>
  <sheetFormatPr defaultColWidth="8.6640625" defaultRowHeight="11.5"/>
  <cols>
    <col min="1" max="2" width="50.6640625" style="2" customWidth="1"/>
    <col min="3" max="20" width="10.6640625" style="2" customWidth="1"/>
    <col min="21" max="21" width="10.6640625" style="9" customWidth="1"/>
    <col min="22" max="34" width="10.6640625" style="2" customWidth="1"/>
    <col min="35" max="37" width="10.6640625" style="131" customWidth="1"/>
    <col min="38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</row>
    <row r="2" spans="1:40" ht="13" customHeight="1" thickBot="1">
      <c r="A2" s="111" t="s">
        <v>210</v>
      </c>
      <c r="B2" s="111" t="s">
        <v>637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</row>
    <row r="3" spans="1:40" ht="13" customHeight="1">
      <c r="A3" s="116" t="s">
        <v>274</v>
      </c>
      <c r="B3" s="116" t="s">
        <v>111</v>
      </c>
      <c r="C3" s="38">
        <f t="shared" ref="C3:S3" si="0">SUM(C4:C11)</f>
        <v>-146137</v>
      </c>
      <c r="D3" s="38">
        <f t="shared" si="0"/>
        <v>-132392</v>
      </c>
      <c r="E3" s="38">
        <f t="shared" si="0"/>
        <v>-146749</v>
      </c>
      <c r="F3" s="38">
        <f t="shared" si="0"/>
        <v>-129157</v>
      </c>
      <c r="G3" s="38">
        <f t="shared" si="0"/>
        <v>-149621</v>
      </c>
      <c r="H3" s="38">
        <f t="shared" si="0"/>
        <v>-154502</v>
      </c>
      <c r="I3" s="38">
        <f t="shared" si="0"/>
        <v>-150768</v>
      </c>
      <c r="J3" s="38">
        <f t="shared" si="0"/>
        <v>-438177</v>
      </c>
      <c r="K3" s="38">
        <f t="shared" si="0"/>
        <v>-263263</v>
      </c>
      <c r="L3" s="38">
        <f t="shared" si="0"/>
        <v>-291659</v>
      </c>
      <c r="M3" s="38">
        <f t="shared" si="0"/>
        <v>-203310</v>
      </c>
      <c r="N3" s="38">
        <f t="shared" si="0"/>
        <v>-245661</v>
      </c>
      <c r="O3" s="38">
        <f t="shared" si="0"/>
        <v>-239902</v>
      </c>
      <c r="P3" s="38">
        <f t="shared" si="0"/>
        <v>-233995</v>
      </c>
      <c r="Q3" s="38">
        <f t="shared" si="0"/>
        <v>-216744</v>
      </c>
      <c r="R3" s="38">
        <f t="shared" si="0"/>
        <v>-205605</v>
      </c>
      <c r="S3" s="38">
        <f t="shared" si="0"/>
        <v>-224154</v>
      </c>
      <c r="T3" s="38">
        <f>SUM(T4:T11)</f>
        <v>-214896</v>
      </c>
      <c r="U3" s="38">
        <f>SUM(U4:U11)</f>
        <v>-193281</v>
      </c>
      <c r="V3" s="38">
        <v>-149057</v>
      </c>
      <c r="W3" s="38">
        <f>SUM(W4:W11)</f>
        <v>-233928</v>
      </c>
      <c r="X3" s="38">
        <f>SUM(X4:X11)</f>
        <v>-219695</v>
      </c>
      <c r="Y3" s="38">
        <v>-184435</v>
      </c>
      <c r="Z3" s="64">
        <f t="shared" ref="Z3:AE3" si="1">SUM(Z4:Z11)</f>
        <v>-184275</v>
      </c>
      <c r="AA3" s="64">
        <f t="shared" si="1"/>
        <v>-215109</v>
      </c>
      <c r="AB3" s="64">
        <f t="shared" si="1"/>
        <v>-224663</v>
      </c>
      <c r="AC3" s="64">
        <f t="shared" si="1"/>
        <v>-208544</v>
      </c>
      <c r="AD3" s="64">
        <f t="shared" si="1"/>
        <v>-203356</v>
      </c>
      <c r="AE3" s="64">
        <f t="shared" si="1"/>
        <v>-236478</v>
      </c>
      <c r="AF3" s="64">
        <f t="shared" ref="AF3:AG3" si="2">SUM(AF4:AF11)</f>
        <v>-234898</v>
      </c>
      <c r="AG3" s="64">
        <f t="shared" si="2"/>
        <v>-225383</v>
      </c>
      <c r="AH3" s="64">
        <f t="shared" ref="AH3:AI3" si="3">SUM(AH4:AH11)</f>
        <v>-242473</v>
      </c>
      <c r="AI3" s="64">
        <f t="shared" si="3"/>
        <v>-260847</v>
      </c>
      <c r="AJ3" s="64">
        <f t="shared" ref="AJ3:AL3" si="4">SUM(AJ4:AJ11)</f>
        <v>-272607</v>
      </c>
      <c r="AK3" s="64">
        <f t="shared" si="4"/>
        <v>-263579</v>
      </c>
      <c r="AL3" s="64">
        <f t="shared" si="4"/>
        <v>-311705</v>
      </c>
      <c r="AM3" s="64">
        <f t="shared" ref="AM3" si="5">SUM(AM4:AM11)</f>
        <v>-311719</v>
      </c>
      <c r="AN3" s="9"/>
    </row>
    <row r="4" spans="1:40" ht="13" customHeight="1">
      <c r="A4" s="117" t="s">
        <v>275</v>
      </c>
      <c r="B4" s="117" t="s">
        <v>112</v>
      </c>
      <c r="C4" s="52">
        <v>-120697</v>
      </c>
      <c r="D4" s="52">
        <v>-105324</v>
      </c>
      <c r="E4" s="52">
        <v>-124727</v>
      </c>
      <c r="F4" s="52">
        <v>-113130</v>
      </c>
      <c r="G4" s="52">
        <v>-124839</v>
      </c>
      <c r="H4" s="52">
        <v>-130225</v>
      </c>
      <c r="I4" s="52">
        <v>-127608</v>
      </c>
      <c r="J4" s="52">
        <v>-160403</v>
      </c>
      <c r="K4" s="52">
        <v>-214900</v>
      </c>
      <c r="L4" s="52">
        <v>-217894</v>
      </c>
      <c r="M4" s="52">
        <v>-180743</v>
      </c>
      <c r="N4" s="52">
        <v>-195745</v>
      </c>
      <c r="O4" s="52">
        <v>-194020</v>
      </c>
      <c r="P4" s="52">
        <v>-187628</v>
      </c>
      <c r="Q4" s="52">
        <v>-178324</v>
      </c>
      <c r="R4" s="52">
        <v>-177943</v>
      </c>
      <c r="S4" s="52">
        <v>-182046</v>
      </c>
      <c r="T4" s="52">
        <v>-176276</v>
      </c>
      <c r="U4" s="52">
        <v>-169913</v>
      </c>
      <c r="V4" s="52">
        <v>-137549</v>
      </c>
      <c r="W4" s="52">
        <v>-190851</v>
      </c>
      <c r="X4" s="52">
        <v>-178883</v>
      </c>
      <c r="Y4" s="52">
        <v>-150542</v>
      </c>
      <c r="Z4" s="52">
        <v>-156511</v>
      </c>
      <c r="AA4" s="52">
        <v>-175176</v>
      </c>
      <c r="AB4" s="52">
        <v>-184225</v>
      </c>
      <c r="AC4" s="52">
        <v>-177631</v>
      </c>
      <c r="AD4" s="52">
        <v>-172484</v>
      </c>
      <c r="AE4" s="52">
        <v>-198344</v>
      </c>
      <c r="AF4" s="52">
        <v>-190687</v>
      </c>
      <c r="AG4" s="52">
        <v>-186858</v>
      </c>
      <c r="AH4" s="52">
        <v>-203648</v>
      </c>
      <c r="AI4" s="52">
        <v>-214017</v>
      </c>
      <c r="AJ4" s="52">
        <v>-224308</v>
      </c>
      <c r="AK4" s="52">
        <v>-217062</v>
      </c>
      <c r="AL4" s="52">
        <v>-260484</v>
      </c>
      <c r="AM4" s="52">
        <v>-252391</v>
      </c>
      <c r="AN4" s="9"/>
    </row>
    <row r="5" spans="1:40" ht="13" customHeight="1">
      <c r="A5" s="117" t="s">
        <v>276</v>
      </c>
      <c r="B5" s="117" t="s">
        <v>113</v>
      </c>
      <c r="C5" s="52">
        <v>-23224</v>
      </c>
      <c r="D5" s="52">
        <v>-20854</v>
      </c>
      <c r="E5" s="52">
        <v>-20530</v>
      </c>
      <c r="F5" s="52">
        <v>-15849</v>
      </c>
      <c r="G5" s="52">
        <v>-23279</v>
      </c>
      <c r="H5" s="52">
        <v>-22409</v>
      </c>
      <c r="I5" s="52">
        <v>-21530</v>
      </c>
      <c r="J5" s="52">
        <v>-27285</v>
      </c>
      <c r="K5" s="52">
        <v>-46731</v>
      </c>
      <c r="L5" s="52">
        <v>-51047</v>
      </c>
      <c r="M5" s="52">
        <v>-30131</v>
      </c>
      <c r="N5" s="52">
        <v>-34204</v>
      </c>
      <c r="O5" s="52">
        <v>-41644</v>
      </c>
      <c r="P5" s="52">
        <v>-36002</v>
      </c>
      <c r="Q5" s="52">
        <v>-32527</v>
      </c>
      <c r="R5" s="52">
        <v>-27824</v>
      </c>
      <c r="S5" s="52">
        <v>-38596</v>
      </c>
      <c r="T5" s="52">
        <v>-34313</v>
      </c>
      <c r="U5" s="52">
        <v>-31894</v>
      </c>
      <c r="V5" s="52">
        <v>-20412</v>
      </c>
      <c r="W5" s="52">
        <v>-40384</v>
      </c>
      <c r="X5" s="52">
        <v>-37906</v>
      </c>
      <c r="Y5" s="52">
        <v>-33315</v>
      </c>
      <c r="Z5" s="52">
        <v>-24920</v>
      </c>
      <c r="AA5" s="52">
        <v>-37073</v>
      </c>
      <c r="AB5" s="52">
        <v>-38119</v>
      </c>
      <c r="AC5" s="52">
        <v>-28089</v>
      </c>
      <c r="AD5" s="52">
        <v>-28121</v>
      </c>
      <c r="AE5" s="52">
        <v>-35431</v>
      </c>
      <c r="AF5" s="52">
        <v>-41214</v>
      </c>
      <c r="AG5" s="52">
        <v>-34784</v>
      </c>
      <c r="AH5" s="52">
        <v>-34308</v>
      </c>
      <c r="AI5" s="52">
        <v>-43170</v>
      </c>
      <c r="AJ5" s="52">
        <v>-43449</v>
      </c>
      <c r="AK5" s="52">
        <v>-41973</v>
      </c>
      <c r="AL5" s="52">
        <v>-42808</v>
      </c>
      <c r="AM5" s="52">
        <v>-51700</v>
      </c>
      <c r="AN5" s="9"/>
    </row>
    <row r="6" spans="1:40" ht="13" customHeight="1">
      <c r="A6" s="117" t="s">
        <v>277</v>
      </c>
      <c r="B6" s="117" t="s">
        <v>114</v>
      </c>
      <c r="C6" s="52">
        <v>-909</v>
      </c>
      <c r="D6" s="52">
        <v>-845</v>
      </c>
      <c r="E6" s="52">
        <v>-909</v>
      </c>
      <c r="F6" s="52">
        <v>1936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52">
        <v>0</v>
      </c>
      <c r="AN6" s="9"/>
    </row>
    <row r="7" spans="1:40" ht="13" customHeight="1">
      <c r="A7" s="117" t="s">
        <v>278</v>
      </c>
      <c r="B7" s="117" t="s">
        <v>115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-56378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</v>
      </c>
      <c r="AK7" s="52">
        <v>0</v>
      </c>
      <c r="AL7" s="52">
        <v>0</v>
      </c>
      <c r="AM7" s="52">
        <v>0</v>
      </c>
      <c r="AN7" s="9"/>
    </row>
    <row r="8" spans="1:40" ht="13" customHeight="1">
      <c r="A8" s="117" t="s">
        <v>279</v>
      </c>
      <c r="B8" s="117" t="s">
        <v>508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-12075</v>
      </c>
      <c r="K8" s="52">
        <v>0</v>
      </c>
      <c r="L8" s="52">
        <v>-20804</v>
      </c>
      <c r="M8" s="52">
        <v>9295</v>
      </c>
      <c r="N8" s="52">
        <v>-5180</v>
      </c>
      <c r="O8" s="52">
        <v>-2315</v>
      </c>
      <c r="P8" s="52">
        <v>-5658</v>
      </c>
      <c r="Q8" s="52">
        <v>-2998</v>
      </c>
      <c r="R8" s="52">
        <v>10646</v>
      </c>
      <c r="S8" s="52">
        <v>-972</v>
      </c>
      <c r="T8" s="52">
        <v>177</v>
      </c>
      <c r="U8" s="52">
        <v>1055</v>
      </c>
      <c r="V8" s="52">
        <v>4933</v>
      </c>
      <c r="W8" s="52">
        <v>0</v>
      </c>
      <c r="X8" s="52">
        <v>0</v>
      </c>
      <c r="Y8" s="52">
        <v>0</v>
      </c>
      <c r="Z8" s="52">
        <v>180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0</v>
      </c>
      <c r="AJ8" s="52">
        <v>0</v>
      </c>
      <c r="AK8" s="52">
        <v>0</v>
      </c>
      <c r="AL8" s="52">
        <v>0</v>
      </c>
      <c r="AM8" s="52">
        <v>0</v>
      </c>
      <c r="AN8" s="9"/>
    </row>
    <row r="9" spans="1:40" ht="13" customHeight="1">
      <c r="A9" s="117" t="s">
        <v>280</v>
      </c>
      <c r="B9" s="117" t="s">
        <v>116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-14126</v>
      </c>
      <c r="K9" s="52">
        <v>0</v>
      </c>
      <c r="L9" s="52">
        <v>0</v>
      </c>
      <c r="M9" s="52">
        <v>0</v>
      </c>
      <c r="N9" s="52">
        <v>-2759</v>
      </c>
      <c r="O9" s="52">
        <v>0</v>
      </c>
      <c r="P9" s="52">
        <v>0</v>
      </c>
      <c r="Q9" s="52">
        <v>0</v>
      </c>
      <c r="R9" s="52">
        <v>211</v>
      </c>
      <c r="S9" s="52">
        <v>-865</v>
      </c>
      <c r="T9" s="52">
        <v>-601</v>
      </c>
      <c r="U9" s="52">
        <v>9587</v>
      </c>
      <c r="V9" s="52">
        <v>6421</v>
      </c>
      <c r="W9" s="52">
        <v>-354</v>
      </c>
      <c r="X9" s="52">
        <v>-853</v>
      </c>
      <c r="Y9" s="52">
        <v>1948</v>
      </c>
      <c r="Z9" s="52">
        <v>-19</v>
      </c>
      <c r="AA9" s="52">
        <v>-780</v>
      </c>
      <c r="AB9" s="52">
        <v>-295</v>
      </c>
      <c r="AC9" s="52">
        <v>-593</v>
      </c>
      <c r="AD9" s="52">
        <v>-660</v>
      </c>
      <c r="AE9" s="52">
        <v>-667</v>
      </c>
      <c r="AF9" s="52">
        <v>-339</v>
      </c>
      <c r="AG9" s="52">
        <v>-523</v>
      </c>
      <c r="AH9" s="52">
        <v>-876</v>
      </c>
      <c r="AI9" s="52">
        <v>-501</v>
      </c>
      <c r="AJ9" s="52">
        <v>-1508</v>
      </c>
      <c r="AK9" s="52">
        <v>-1081</v>
      </c>
      <c r="AL9" s="52">
        <v>-3399</v>
      </c>
      <c r="AM9" s="52">
        <v>-2783</v>
      </c>
      <c r="AN9" s="9"/>
    </row>
    <row r="10" spans="1:40" ht="13" customHeight="1">
      <c r="A10" s="117" t="s">
        <v>281</v>
      </c>
      <c r="B10" s="117" t="s">
        <v>117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-167000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/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L10" s="52">
        <v>0</v>
      </c>
      <c r="AM10" s="52">
        <v>0</v>
      </c>
      <c r="AN10" s="9"/>
    </row>
    <row r="11" spans="1:40" ht="13" customHeight="1">
      <c r="A11" s="117" t="s">
        <v>282</v>
      </c>
      <c r="B11" s="117" t="s">
        <v>118</v>
      </c>
      <c r="C11" s="52">
        <v>-1307</v>
      </c>
      <c r="D11" s="52">
        <v>-5369</v>
      </c>
      <c r="E11" s="52">
        <v>-583</v>
      </c>
      <c r="F11" s="52">
        <v>-2114</v>
      </c>
      <c r="G11" s="52">
        <v>-1503</v>
      </c>
      <c r="H11" s="52">
        <v>-1868</v>
      </c>
      <c r="I11" s="52">
        <v>-1630</v>
      </c>
      <c r="J11" s="52">
        <v>-910</v>
      </c>
      <c r="K11" s="52">
        <v>-1632</v>
      </c>
      <c r="L11" s="52">
        <v>-1914</v>
      </c>
      <c r="M11" s="52">
        <v>-1731</v>
      </c>
      <c r="N11" s="52">
        <v>-7773</v>
      </c>
      <c r="O11" s="52">
        <v>-1923</v>
      </c>
      <c r="P11" s="52">
        <v>-4707</v>
      </c>
      <c r="Q11" s="52">
        <v>-2895</v>
      </c>
      <c r="R11" s="52">
        <v>-10695</v>
      </c>
      <c r="S11" s="52">
        <v>-1675</v>
      </c>
      <c r="T11" s="52">
        <v>-3883</v>
      </c>
      <c r="U11" s="52">
        <v>-2116</v>
      </c>
      <c r="V11" s="52">
        <v>-2450</v>
      </c>
      <c r="W11" s="52">
        <v>-2339</v>
      </c>
      <c r="X11" s="52">
        <v>-2053</v>
      </c>
      <c r="Y11" s="52">
        <v>-2526</v>
      </c>
      <c r="Z11" s="52">
        <v>-3005</v>
      </c>
      <c r="AA11" s="52">
        <v>-2080</v>
      </c>
      <c r="AB11" s="52">
        <v>-2024</v>
      </c>
      <c r="AC11" s="52">
        <v>-2231</v>
      </c>
      <c r="AD11" s="52">
        <v>-2091</v>
      </c>
      <c r="AE11" s="52">
        <v>-2036</v>
      </c>
      <c r="AF11" s="52">
        <v>-2658</v>
      </c>
      <c r="AG11" s="52">
        <v>-3218</v>
      </c>
      <c r="AH11" s="52">
        <v>-3641</v>
      </c>
      <c r="AI11" s="52">
        <v>-3159</v>
      </c>
      <c r="AJ11" s="52">
        <v>-3342</v>
      </c>
      <c r="AK11" s="52">
        <v>-3463</v>
      </c>
      <c r="AL11" s="52">
        <v>-5014</v>
      </c>
      <c r="AM11" s="52">
        <v>-4845</v>
      </c>
      <c r="AN11" s="9"/>
    </row>
    <row r="12" spans="1:40" ht="13" customHeight="1">
      <c r="A12" s="116" t="s">
        <v>283</v>
      </c>
      <c r="B12" s="116" t="s">
        <v>119</v>
      </c>
      <c r="C12" s="38">
        <f t="shared" ref="C12:S12" si="6">SUM(C13:C25)</f>
        <v>-90595</v>
      </c>
      <c r="D12" s="38">
        <f t="shared" si="6"/>
        <v>-108504</v>
      </c>
      <c r="E12" s="38">
        <f t="shared" si="6"/>
        <v>-90502</v>
      </c>
      <c r="F12" s="38">
        <f t="shared" si="6"/>
        <v>-171210</v>
      </c>
      <c r="G12" s="38">
        <f t="shared" si="6"/>
        <v>-99192</v>
      </c>
      <c r="H12" s="38">
        <f t="shared" si="6"/>
        <v>-108369</v>
      </c>
      <c r="I12" s="38">
        <f t="shared" si="6"/>
        <v>-120837</v>
      </c>
      <c r="J12" s="38">
        <f t="shared" si="6"/>
        <v>-232246</v>
      </c>
      <c r="K12" s="38">
        <f t="shared" si="6"/>
        <v>-188245</v>
      </c>
      <c r="L12" s="38">
        <f t="shared" si="6"/>
        <v>-166474</v>
      </c>
      <c r="M12" s="38">
        <f t="shared" si="6"/>
        <v>-137699</v>
      </c>
      <c r="N12" s="38">
        <f t="shared" si="6"/>
        <v>-168699</v>
      </c>
      <c r="O12" s="38">
        <f t="shared" si="6"/>
        <v>-171117</v>
      </c>
      <c r="P12" s="38">
        <f t="shared" si="6"/>
        <v>-151659</v>
      </c>
      <c r="Q12" s="38">
        <f t="shared" si="6"/>
        <v>-141007</v>
      </c>
      <c r="R12" s="38">
        <f t="shared" si="6"/>
        <v>-145921</v>
      </c>
      <c r="S12" s="38">
        <f t="shared" si="6"/>
        <v>-225345</v>
      </c>
      <c r="T12" s="38">
        <f>SUM(T13:T25)</f>
        <v>-110669</v>
      </c>
      <c r="U12" s="38">
        <f>SUM(U13:U25)</f>
        <v>-110285</v>
      </c>
      <c r="V12" s="38">
        <v>-130689</v>
      </c>
      <c r="W12" s="38">
        <f t="shared" ref="W12:AC12" si="7">SUM(W13:W25)</f>
        <v>-180707</v>
      </c>
      <c r="X12" s="38">
        <f t="shared" si="7"/>
        <v>-109959</v>
      </c>
      <c r="Y12" s="38">
        <f t="shared" si="7"/>
        <v>-107977</v>
      </c>
      <c r="Z12" s="64">
        <f t="shared" si="7"/>
        <v>-130708</v>
      </c>
      <c r="AA12" s="64">
        <f t="shared" si="7"/>
        <v>-140775</v>
      </c>
      <c r="AB12" s="64">
        <f t="shared" si="7"/>
        <v>-90895</v>
      </c>
      <c r="AC12" s="64">
        <f t="shared" si="7"/>
        <v>-117690</v>
      </c>
      <c r="AD12" s="64">
        <f>SUM(AD13:AD25)</f>
        <v>-117249</v>
      </c>
      <c r="AE12" s="64">
        <f t="shared" ref="AE12" si="8">SUM(AE13:AE25)</f>
        <v>-192372</v>
      </c>
      <c r="AF12" s="64">
        <f t="shared" ref="AF12:AK12" si="9">SUM(AF13:AF25)</f>
        <v>-290483</v>
      </c>
      <c r="AG12" s="64">
        <f t="shared" si="9"/>
        <v>-163989</v>
      </c>
      <c r="AH12" s="64">
        <f t="shared" si="9"/>
        <v>-141017</v>
      </c>
      <c r="AI12" s="64">
        <f t="shared" si="9"/>
        <v>-172342</v>
      </c>
      <c r="AJ12" s="64">
        <f t="shared" si="9"/>
        <v>-142025</v>
      </c>
      <c r="AK12" s="64">
        <f t="shared" si="9"/>
        <v>-152172</v>
      </c>
      <c r="AL12" s="64">
        <f t="shared" ref="AL12:AM12" si="10">SUM(AL13:AL25)</f>
        <v>-99872</v>
      </c>
      <c r="AM12" s="64">
        <f t="shared" si="10"/>
        <v>-161790</v>
      </c>
      <c r="AN12" s="9"/>
    </row>
    <row r="13" spans="1:40" ht="13" customHeight="1">
      <c r="A13" s="117" t="s">
        <v>284</v>
      </c>
      <c r="B13" s="117" t="s">
        <v>120</v>
      </c>
      <c r="C13" s="52">
        <v>-37282</v>
      </c>
      <c r="D13" s="52">
        <v>-35716</v>
      </c>
      <c r="E13" s="52">
        <v>-32142</v>
      </c>
      <c r="F13" s="52">
        <v>-35492</v>
      </c>
      <c r="G13" s="52">
        <v>-34345</v>
      </c>
      <c r="H13" s="52">
        <v>-29760</v>
      </c>
      <c r="I13" s="52">
        <v>-34622</v>
      </c>
      <c r="J13" s="52">
        <v>-48664</v>
      </c>
      <c r="K13" s="52">
        <v>-54218</v>
      </c>
      <c r="L13" s="52">
        <v>-23703</v>
      </c>
      <c r="M13" s="52">
        <v>-42868</v>
      </c>
      <c r="N13" s="52">
        <v>-39658</v>
      </c>
      <c r="O13" s="52">
        <v>-37739</v>
      </c>
      <c r="P13" s="52">
        <v>-37229</v>
      </c>
      <c r="Q13" s="52">
        <v>-34281</v>
      </c>
      <c r="R13" s="52">
        <v>-30488</v>
      </c>
      <c r="S13" s="52">
        <v>-16661</v>
      </c>
      <c r="T13" s="52">
        <v>-15832</v>
      </c>
      <c r="U13" s="52">
        <v>-12448</v>
      </c>
      <c r="V13" s="52">
        <v>-13838</v>
      </c>
      <c r="W13" s="52">
        <v>-14552</v>
      </c>
      <c r="X13" s="52">
        <v>-15713</v>
      </c>
      <c r="Y13" s="52">
        <v>-15158</v>
      </c>
      <c r="Z13" s="52">
        <v>-17255</v>
      </c>
      <c r="AA13" s="52">
        <v>-16787</v>
      </c>
      <c r="AB13" s="52">
        <v>-13781</v>
      </c>
      <c r="AC13" s="52">
        <v>-14479</v>
      </c>
      <c r="AD13" s="52">
        <v>-15036</v>
      </c>
      <c r="AE13" s="52">
        <v>-17936</v>
      </c>
      <c r="AF13" s="52">
        <v>-18486</v>
      </c>
      <c r="AG13" s="52">
        <v>-14050</v>
      </c>
      <c r="AH13" s="52">
        <v>-15473</v>
      </c>
      <c r="AI13" s="52">
        <v>-27637</v>
      </c>
      <c r="AJ13" s="52">
        <v>-25535</v>
      </c>
      <c r="AK13" s="52">
        <v>-23862</v>
      </c>
      <c r="AL13" s="52">
        <v>-31417</v>
      </c>
      <c r="AM13" s="52">
        <v>-22137</v>
      </c>
      <c r="AN13" s="9"/>
    </row>
    <row r="14" spans="1:40" ht="13" customHeight="1">
      <c r="A14" s="117" t="s">
        <v>285</v>
      </c>
      <c r="B14" s="117" t="s">
        <v>121</v>
      </c>
      <c r="C14" s="52">
        <v>-14488</v>
      </c>
      <c r="D14" s="52">
        <v>-15187</v>
      </c>
      <c r="E14" s="52">
        <v>-15235</v>
      </c>
      <c r="F14" s="52">
        <v>-72210</v>
      </c>
      <c r="G14" s="52">
        <v>-18908</v>
      </c>
      <c r="H14" s="52">
        <v>-18394</v>
      </c>
      <c r="I14" s="52">
        <v>-19098</v>
      </c>
      <c r="J14" s="52">
        <v>-30164</v>
      </c>
      <c r="K14" s="52">
        <v>-34057</v>
      </c>
      <c r="L14" s="52">
        <v>-18462</v>
      </c>
      <c r="M14" s="52">
        <v>-11218</v>
      </c>
      <c r="N14" s="52">
        <v>-11692</v>
      </c>
      <c r="O14" s="52">
        <v>-54675</v>
      </c>
      <c r="P14" s="52">
        <v>-17041</v>
      </c>
      <c r="Q14" s="52">
        <v>-17093</v>
      </c>
      <c r="R14" s="52">
        <v>-17446</v>
      </c>
      <c r="S14" s="52">
        <v>-121732</v>
      </c>
      <c r="T14" s="52">
        <v>-11594</v>
      </c>
      <c r="U14" s="52">
        <v>-11533</v>
      </c>
      <c r="V14" s="52">
        <v>-11730</v>
      </c>
      <c r="W14" s="52">
        <v>-88599</v>
      </c>
      <c r="X14" s="52">
        <v>-24064</v>
      </c>
      <c r="Y14" s="52">
        <v>-23724</v>
      </c>
      <c r="Z14" s="52">
        <v>-23455</v>
      </c>
      <c r="AA14" s="52">
        <v>-62868</v>
      </c>
      <c r="AB14" s="52">
        <v>-14708</v>
      </c>
      <c r="AC14" s="52">
        <v>-14331</v>
      </c>
      <c r="AD14" s="52">
        <v>-14360</v>
      </c>
      <c r="AE14" s="52">
        <v>-96955</v>
      </c>
      <c r="AF14" s="52">
        <v>0</v>
      </c>
      <c r="AG14" s="52">
        <v>0</v>
      </c>
      <c r="AH14" s="52">
        <v>-659</v>
      </c>
      <c r="AI14" s="52">
        <v>-57500</v>
      </c>
      <c r="AJ14" s="52">
        <v>-1372</v>
      </c>
      <c r="AK14" s="52">
        <v>0</v>
      </c>
      <c r="AL14" s="52">
        <v>0</v>
      </c>
      <c r="AM14" s="52">
        <v>-40644</v>
      </c>
      <c r="AN14" s="9"/>
    </row>
    <row r="15" spans="1:40" ht="13" customHeight="1">
      <c r="A15" s="117" t="s">
        <v>509</v>
      </c>
      <c r="B15" s="117" t="s">
        <v>510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-195486</v>
      </c>
      <c r="AG15" s="52">
        <v>-18608</v>
      </c>
      <c r="AH15" s="52">
        <v>0</v>
      </c>
      <c r="AI15" s="52">
        <v>0</v>
      </c>
      <c r="AJ15" s="52">
        <v>0</v>
      </c>
      <c r="AK15" s="52">
        <v>0</v>
      </c>
      <c r="AL15" s="52">
        <v>0</v>
      </c>
      <c r="AM15" s="52">
        <v>0</v>
      </c>
      <c r="AN15" s="9"/>
    </row>
    <row r="16" spans="1:40" ht="13" customHeight="1">
      <c r="A16" s="117" t="s">
        <v>527</v>
      </c>
      <c r="B16" s="117" t="s">
        <v>526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>
        <v>-53479</v>
      </c>
      <c r="AH16" s="52">
        <v>-8389</v>
      </c>
      <c r="AI16" s="52">
        <v>0</v>
      </c>
      <c r="AJ16" s="52">
        <v>0</v>
      </c>
      <c r="AK16" s="52">
        <v>0</v>
      </c>
      <c r="AL16" s="52"/>
      <c r="AM16" s="52"/>
      <c r="AN16" s="9"/>
    </row>
    <row r="17" spans="1:41" ht="13" customHeight="1">
      <c r="A17" s="117" t="s">
        <v>286</v>
      </c>
      <c r="B17" s="117" t="s">
        <v>122</v>
      </c>
      <c r="C17" s="52">
        <v>-9141</v>
      </c>
      <c r="D17" s="52">
        <v>-11924</v>
      </c>
      <c r="E17" s="52">
        <v>-10647</v>
      </c>
      <c r="F17" s="52">
        <v>-14193</v>
      </c>
      <c r="G17" s="52">
        <v>-12932</v>
      </c>
      <c r="H17" s="52">
        <v>-11537</v>
      </c>
      <c r="I17" s="52">
        <v>-11518</v>
      </c>
      <c r="J17" s="52">
        <v>-32225</v>
      </c>
      <c r="K17" s="52">
        <v>-44284</v>
      </c>
      <c r="L17" s="52">
        <v>-48050</v>
      </c>
      <c r="M17" s="52">
        <v>-31708</v>
      </c>
      <c r="N17" s="52">
        <v>-32725</v>
      </c>
      <c r="O17" s="52">
        <v>-22904</v>
      </c>
      <c r="P17" s="52">
        <v>-24788</v>
      </c>
      <c r="Q17" s="52">
        <v>-24749</v>
      </c>
      <c r="R17" s="52">
        <v>-26945</v>
      </c>
      <c r="S17" s="52">
        <v>-22610</v>
      </c>
      <c r="T17" s="52">
        <v>-26420</v>
      </c>
      <c r="U17" s="52">
        <v>-30743</v>
      </c>
      <c r="V17" s="52">
        <v>-32412</v>
      </c>
      <c r="W17" s="52">
        <v>-24549</v>
      </c>
      <c r="X17" s="52">
        <v>-25458</v>
      </c>
      <c r="Y17" s="52">
        <v>-30301</v>
      </c>
      <c r="Z17" s="52">
        <v>-38086</v>
      </c>
      <c r="AA17" s="52">
        <v>-29840</v>
      </c>
      <c r="AB17" s="52">
        <v>-31234</v>
      </c>
      <c r="AC17" s="52">
        <v>-32619</v>
      </c>
      <c r="AD17" s="52">
        <v>-32508</v>
      </c>
      <c r="AE17" s="52">
        <v>-32083</v>
      </c>
      <c r="AF17" s="52">
        <v>-34199</v>
      </c>
      <c r="AG17" s="52">
        <v>-36176</v>
      </c>
      <c r="AH17" s="52">
        <v>-38464</v>
      </c>
      <c r="AI17" s="52">
        <v>-36321</v>
      </c>
      <c r="AJ17" s="52">
        <v>-40649</v>
      </c>
      <c r="AK17" s="52">
        <v>-38042</v>
      </c>
      <c r="AL17" s="52">
        <v>-48192</v>
      </c>
      <c r="AM17" s="52">
        <v>-42822</v>
      </c>
      <c r="AN17" s="9"/>
    </row>
    <row r="18" spans="1:41" ht="13" customHeight="1">
      <c r="A18" s="117" t="s">
        <v>287</v>
      </c>
      <c r="B18" s="117" t="s">
        <v>123</v>
      </c>
      <c r="C18" s="52">
        <v>-7939</v>
      </c>
      <c r="D18" s="52">
        <v>-17462</v>
      </c>
      <c r="E18" s="52">
        <v>-11233</v>
      </c>
      <c r="F18" s="52">
        <v>-15883</v>
      </c>
      <c r="G18" s="52">
        <v>-9162</v>
      </c>
      <c r="H18" s="52">
        <v>-12426</v>
      </c>
      <c r="I18" s="52">
        <v>-14723</v>
      </c>
      <c r="J18" s="52">
        <v>-20807</v>
      </c>
      <c r="K18" s="52">
        <v>-9415</v>
      </c>
      <c r="L18" s="52">
        <v>-17188</v>
      </c>
      <c r="M18" s="52">
        <v>-16227</v>
      </c>
      <c r="N18" s="52">
        <v>-27529</v>
      </c>
      <c r="O18" s="52">
        <v>-19122</v>
      </c>
      <c r="P18" s="52">
        <v>-22124</v>
      </c>
      <c r="Q18" s="52">
        <v>-15105</v>
      </c>
      <c r="R18" s="52">
        <v>-22343</v>
      </c>
      <c r="S18" s="52">
        <v>-20602</v>
      </c>
      <c r="T18" s="52">
        <v>-18878</v>
      </c>
      <c r="U18" s="52">
        <v>-18404</v>
      </c>
      <c r="V18" s="52">
        <v>-21394</v>
      </c>
      <c r="W18" s="52">
        <v>-11741</v>
      </c>
      <c r="X18" s="52">
        <v>-16028</v>
      </c>
      <c r="Y18" s="52">
        <v>-8111</v>
      </c>
      <c r="Z18" s="52">
        <v>-15934</v>
      </c>
      <c r="AA18" s="52">
        <v>-4312</v>
      </c>
      <c r="AB18" s="52">
        <v>-9645</v>
      </c>
      <c r="AC18" s="52">
        <v>-14177</v>
      </c>
      <c r="AD18" s="52">
        <v>-24654</v>
      </c>
      <c r="AE18" s="52">
        <v>-10987</v>
      </c>
      <c r="AF18" s="52">
        <v>-18524</v>
      </c>
      <c r="AG18" s="52">
        <v>-9876</v>
      </c>
      <c r="AH18" s="52">
        <v>-23885</v>
      </c>
      <c r="AI18" s="52">
        <v>-14252</v>
      </c>
      <c r="AJ18" s="52">
        <v>-16493</v>
      </c>
      <c r="AK18" s="52">
        <v>-20258</v>
      </c>
      <c r="AL18" s="52">
        <v>-30404</v>
      </c>
      <c r="AM18" s="52">
        <v>-15294</v>
      </c>
      <c r="AN18" s="9"/>
    </row>
    <row r="19" spans="1:41" ht="13" customHeight="1">
      <c r="A19" s="117" t="s">
        <v>288</v>
      </c>
      <c r="B19" s="117" t="s">
        <v>124</v>
      </c>
      <c r="C19" s="52">
        <v>-3923</v>
      </c>
      <c r="D19" s="52">
        <v>-6331</v>
      </c>
      <c r="E19" s="52">
        <v>-4937</v>
      </c>
      <c r="F19" s="52">
        <v>-5020</v>
      </c>
      <c r="G19" s="52">
        <v>-4598</v>
      </c>
      <c r="H19" s="52">
        <v>-15223</v>
      </c>
      <c r="I19" s="52">
        <v>-10651</v>
      </c>
      <c r="J19" s="52">
        <v>-15021</v>
      </c>
      <c r="K19" s="52">
        <v>-13337</v>
      </c>
      <c r="L19" s="52">
        <v>-14022</v>
      </c>
      <c r="M19" s="52">
        <v>-4326</v>
      </c>
      <c r="N19" s="52">
        <v>-14541</v>
      </c>
      <c r="O19" s="52">
        <v>-8587</v>
      </c>
      <c r="P19" s="52">
        <v>-6728</v>
      </c>
      <c r="Q19" s="52">
        <v>-4354</v>
      </c>
      <c r="R19" s="52">
        <v>-8412</v>
      </c>
      <c r="S19" s="52">
        <v>-9794</v>
      </c>
      <c r="T19" s="52">
        <v>-6203</v>
      </c>
      <c r="U19" s="52">
        <v>-5343</v>
      </c>
      <c r="V19" s="52">
        <v>-8697</v>
      </c>
      <c r="W19" s="52">
        <v>-6044</v>
      </c>
      <c r="X19" s="52">
        <v>-5628</v>
      </c>
      <c r="Y19" s="52">
        <v>-2661</v>
      </c>
      <c r="Z19" s="52">
        <v>-7784</v>
      </c>
      <c r="AA19" s="52">
        <v>-2017</v>
      </c>
      <c r="AB19" s="52">
        <v>-3661</v>
      </c>
      <c r="AC19" s="52">
        <v>-5352</v>
      </c>
      <c r="AD19" s="52">
        <v>-7668</v>
      </c>
      <c r="AE19" s="52">
        <v>-3368</v>
      </c>
      <c r="AF19" s="52">
        <v>-3446</v>
      </c>
      <c r="AG19" s="52">
        <v>-5203</v>
      </c>
      <c r="AH19" s="52">
        <v>-6357</v>
      </c>
      <c r="AI19" s="52">
        <v>-3058</v>
      </c>
      <c r="AJ19" s="52">
        <v>-4611</v>
      </c>
      <c r="AK19" s="52">
        <v>-3200</v>
      </c>
      <c r="AL19" s="52">
        <v>-15628</v>
      </c>
      <c r="AM19" s="52">
        <v>-5035</v>
      </c>
      <c r="AN19" s="9"/>
    </row>
    <row r="20" spans="1:41" ht="13" customHeight="1">
      <c r="A20" s="117" t="s">
        <v>289</v>
      </c>
      <c r="B20" s="117" t="s">
        <v>125</v>
      </c>
      <c r="C20" s="52">
        <v>-7819</v>
      </c>
      <c r="D20" s="52">
        <v>-5197</v>
      </c>
      <c r="E20" s="52">
        <v>-6380</v>
      </c>
      <c r="F20" s="52">
        <v>-7292</v>
      </c>
      <c r="G20" s="52">
        <v>-6918</v>
      </c>
      <c r="H20" s="52">
        <v>-5722</v>
      </c>
      <c r="I20" s="52">
        <v>-12179</v>
      </c>
      <c r="J20" s="52">
        <v>-20593</v>
      </c>
      <c r="K20" s="52">
        <v>-13221</v>
      </c>
      <c r="L20" s="52">
        <v>-10783</v>
      </c>
      <c r="M20" s="52">
        <v>-7082</v>
      </c>
      <c r="N20" s="52">
        <v>-10845</v>
      </c>
      <c r="O20" s="52">
        <v>-6529</v>
      </c>
      <c r="P20" s="52">
        <v>-10437</v>
      </c>
      <c r="Q20" s="52">
        <v>-12596</v>
      </c>
      <c r="R20" s="52">
        <v>-10232</v>
      </c>
      <c r="S20" s="52">
        <v>-6756</v>
      </c>
      <c r="T20" s="52">
        <v>-9525</v>
      </c>
      <c r="U20" s="52">
        <v>-7151</v>
      </c>
      <c r="V20" s="52">
        <v>-10137</v>
      </c>
      <c r="W20" s="52">
        <v>-7922</v>
      </c>
      <c r="X20" s="52">
        <v>-6227</v>
      </c>
      <c r="Y20" s="52">
        <v>-6628</v>
      </c>
      <c r="Z20" s="52">
        <v>-6192</v>
      </c>
      <c r="AA20" s="52">
        <v>-5393</v>
      </c>
      <c r="AB20" s="52">
        <v>-7142</v>
      </c>
      <c r="AC20" s="52">
        <v>-7946</v>
      </c>
      <c r="AD20" s="52">
        <v>-4895</v>
      </c>
      <c r="AE20" s="52">
        <v>-6585</v>
      </c>
      <c r="AF20" s="52">
        <v>-6538</v>
      </c>
      <c r="AG20" s="52">
        <v>-6711</v>
      </c>
      <c r="AH20" s="52">
        <v>-7795</v>
      </c>
      <c r="AI20" s="52">
        <v>-7534</v>
      </c>
      <c r="AJ20" s="52">
        <v>-7198</v>
      </c>
      <c r="AK20" s="52">
        <v>-10249</v>
      </c>
      <c r="AL20" s="52">
        <v>-7653</v>
      </c>
      <c r="AM20" s="52">
        <v>-7751</v>
      </c>
      <c r="AN20" s="9"/>
    </row>
    <row r="21" spans="1:41" ht="13" customHeight="1">
      <c r="A21" s="117" t="s">
        <v>290</v>
      </c>
      <c r="B21" s="117" t="s">
        <v>126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-32668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/>
      <c r="AM21" s="52">
        <v>0</v>
      </c>
      <c r="AN21" s="9"/>
    </row>
    <row r="22" spans="1:41" ht="13" customHeight="1">
      <c r="A22" s="117" t="s">
        <v>291</v>
      </c>
      <c r="B22" s="117" t="s">
        <v>127</v>
      </c>
      <c r="C22" s="52">
        <v>-2170</v>
      </c>
      <c r="D22" s="52">
        <v>-2600</v>
      </c>
      <c r="E22" s="52">
        <v>-3432</v>
      </c>
      <c r="F22" s="52">
        <v>-5701</v>
      </c>
      <c r="G22" s="52">
        <v>-5250</v>
      </c>
      <c r="H22" s="52">
        <v>-5186</v>
      </c>
      <c r="I22" s="52">
        <v>-3818</v>
      </c>
      <c r="J22" s="52">
        <v>-8518</v>
      </c>
      <c r="K22" s="52">
        <v>-3290</v>
      </c>
      <c r="L22" s="52">
        <v>-7993</v>
      </c>
      <c r="M22" s="52">
        <v>-3650</v>
      </c>
      <c r="N22" s="52">
        <v>-11778</v>
      </c>
      <c r="O22" s="52">
        <v>-5601</v>
      </c>
      <c r="P22" s="52">
        <v>-6716</v>
      </c>
      <c r="Q22" s="52">
        <v>-1520</v>
      </c>
      <c r="R22" s="52">
        <v>-13598</v>
      </c>
      <c r="S22" s="52">
        <v>-4223</v>
      </c>
      <c r="T22" s="52">
        <v>-1831</v>
      </c>
      <c r="U22" s="52">
        <v>-3062</v>
      </c>
      <c r="V22" s="52">
        <v>-7142</v>
      </c>
      <c r="W22" s="52">
        <v>-2407</v>
      </c>
      <c r="X22" s="52">
        <v>-1023</v>
      </c>
      <c r="Y22" s="52">
        <v>-1100</v>
      </c>
      <c r="Z22" s="52">
        <v>-1674</v>
      </c>
      <c r="AA22" s="52">
        <v>-834</v>
      </c>
      <c r="AB22" s="52">
        <v>-828</v>
      </c>
      <c r="AC22" s="52">
        <v>-1093</v>
      </c>
      <c r="AD22" s="52">
        <v>-2920</v>
      </c>
      <c r="AE22" s="52">
        <v>-314</v>
      </c>
      <c r="AF22" s="52">
        <v>-2496</v>
      </c>
      <c r="AG22" s="52">
        <v>-1787</v>
      </c>
      <c r="AH22" s="52">
        <v>-9775</v>
      </c>
      <c r="AI22" s="52">
        <v>-3791</v>
      </c>
      <c r="AJ22" s="52">
        <v>-2853</v>
      </c>
      <c r="AK22" s="52">
        <v>-2487</v>
      </c>
      <c r="AL22" s="52">
        <v>-8376</v>
      </c>
      <c r="AM22" s="52">
        <v>-2134</v>
      </c>
      <c r="AN22" s="9"/>
    </row>
    <row r="23" spans="1:41" ht="13" customHeight="1">
      <c r="A23" s="117" t="s">
        <v>292</v>
      </c>
      <c r="B23" s="117" t="s">
        <v>128</v>
      </c>
      <c r="C23" s="52">
        <v>-3999</v>
      </c>
      <c r="D23" s="52">
        <v>-3987</v>
      </c>
      <c r="E23" s="52">
        <v>-3209</v>
      </c>
      <c r="F23" s="52">
        <v>-4778</v>
      </c>
      <c r="G23" s="52">
        <v>-2949</v>
      </c>
      <c r="H23" s="52">
        <v>-3399</v>
      </c>
      <c r="I23" s="52">
        <v>-4094</v>
      </c>
      <c r="J23" s="52">
        <v>-8691</v>
      </c>
      <c r="K23" s="52">
        <v>-4645</v>
      </c>
      <c r="L23" s="52">
        <v>-9862</v>
      </c>
      <c r="M23" s="52">
        <v>-6033</v>
      </c>
      <c r="N23" s="52">
        <v>-5690</v>
      </c>
      <c r="O23" s="52">
        <v>-6022</v>
      </c>
      <c r="P23" s="52">
        <v>-5921</v>
      </c>
      <c r="Q23" s="52">
        <v>-6238</v>
      </c>
      <c r="R23" s="52">
        <v>-6925</v>
      </c>
      <c r="S23" s="52">
        <v>-5901</v>
      </c>
      <c r="T23" s="52">
        <v>-6415</v>
      </c>
      <c r="U23" s="52">
        <v>-7799</v>
      </c>
      <c r="V23" s="52">
        <v>-8949</v>
      </c>
      <c r="W23" s="52">
        <v>-5826</v>
      </c>
      <c r="X23" s="52">
        <v>-6235</v>
      </c>
      <c r="Y23" s="52">
        <v>-7253</v>
      </c>
      <c r="Z23" s="52">
        <v>-8928</v>
      </c>
      <c r="AA23" s="52">
        <v>-6702</v>
      </c>
      <c r="AB23" s="52">
        <v>-6197</v>
      </c>
      <c r="AC23" s="52">
        <v>-5938</v>
      </c>
      <c r="AD23" s="52">
        <v>-6413</v>
      </c>
      <c r="AE23" s="52">
        <v>-5980</v>
      </c>
      <c r="AF23" s="52">
        <v>-7092</v>
      </c>
      <c r="AG23" s="52">
        <v>-6314</v>
      </c>
      <c r="AH23" s="52">
        <v>-6950</v>
      </c>
      <c r="AI23" s="52">
        <v>-5116</v>
      </c>
      <c r="AJ23" s="52">
        <v>-6185</v>
      </c>
      <c r="AK23" s="52">
        <v>-5853</v>
      </c>
      <c r="AL23" s="52">
        <v>-6016</v>
      </c>
      <c r="AM23" s="52">
        <v>-5977</v>
      </c>
      <c r="AN23" s="9"/>
    </row>
    <row r="24" spans="1:41" ht="13" customHeight="1">
      <c r="A24" s="117" t="s">
        <v>293</v>
      </c>
      <c r="B24" s="117" t="s">
        <v>129</v>
      </c>
      <c r="C24" s="52">
        <v>-805</v>
      </c>
      <c r="D24" s="52">
        <v>-786</v>
      </c>
      <c r="E24" s="52">
        <v>-977</v>
      </c>
      <c r="F24" s="52">
        <v>-925</v>
      </c>
      <c r="G24" s="52">
        <v>-947</v>
      </c>
      <c r="H24" s="52">
        <v>-937</v>
      </c>
      <c r="I24" s="52">
        <v>-1255</v>
      </c>
      <c r="J24" s="52">
        <v>-1234</v>
      </c>
      <c r="K24" s="52">
        <v>-1522</v>
      </c>
      <c r="L24" s="52">
        <v>-1783</v>
      </c>
      <c r="M24" s="52">
        <v>-1879</v>
      </c>
      <c r="N24" s="52">
        <v>-1916</v>
      </c>
      <c r="O24" s="52">
        <v>-1940</v>
      </c>
      <c r="P24" s="52">
        <v>-1869</v>
      </c>
      <c r="Q24" s="52">
        <v>-1794</v>
      </c>
      <c r="R24" s="52">
        <v>-2181</v>
      </c>
      <c r="S24" s="52">
        <v>-1894</v>
      </c>
      <c r="T24" s="52">
        <v>-1493</v>
      </c>
      <c r="U24" s="52">
        <v>-1953</v>
      </c>
      <c r="V24" s="52">
        <v>-1426</v>
      </c>
      <c r="W24" s="52">
        <v>-2024</v>
      </c>
      <c r="X24" s="52">
        <v>-2191</v>
      </c>
      <c r="Y24" s="52">
        <v>-2347</v>
      </c>
      <c r="Z24" s="52">
        <v>-1304</v>
      </c>
      <c r="AA24" s="52">
        <v>-770</v>
      </c>
      <c r="AB24" s="52">
        <v>444</v>
      </c>
      <c r="AC24" s="52">
        <v>-75</v>
      </c>
      <c r="AD24" s="52">
        <v>-82</v>
      </c>
      <c r="AE24" s="52">
        <v>-59</v>
      </c>
      <c r="AF24" s="52">
        <v>-23</v>
      </c>
      <c r="AG24" s="52">
        <v>-59</v>
      </c>
      <c r="AH24" s="52">
        <v>-287</v>
      </c>
      <c r="AI24" s="52">
        <v>-42</v>
      </c>
      <c r="AJ24" s="52">
        <v>-33</v>
      </c>
      <c r="AK24" s="52">
        <v>-43</v>
      </c>
      <c r="AL24" s="52">
        <v>-43</v>
      </c>
      <c r="AM24" s="52">
        <v>-164</v>
      </c>
      <c r="AN24" s="9"/>
    </row>
    <row r="25" spans="1:41" ht="13" customHeight="1">
      <c r="A25" s="117" t="s">
        <v>294</v>
      </c>
      <c r="B25" s="117" t="s">
        <v>118</v>
      </c>
      <c r="C25" s="52">
        <v>-3029</v>
      </c>
      <c r="D25" s="52">
        <v>-9314</v>
      </c>
      <c r="E25" s="52">
        <v>-2310</v>
      </c>
      <c r="F25" s="52">
        <v>-9716</v>
      </c>
      <c r="G25" s="52">
        <v>-3183</v>
      </c>
      <c r="H25" s="52">
        <v>-5785</v>
      </c>
      <c r="I25" s="52">
        <v>-8879</v>
      </c>
      <c r="J25" s="52">
        <v>-13661</v>
      </c>
      <c r="K25" s="52">
        <v>-10256</v>
      </c>
      <c r="L25" s="52">
        <v>-14628</v>
      </c>
      <c r="M25" s="52">
        <v>-12708</v>
      </c>
      <c r="N25" s="52">
        <v>-12325</v>
      </c>
      <c r="O25" s="52">
        <v>-7998</v>
      </c>
      <c r="P25" s="52">
        <v>-18806</v>
      </c>
      <c r="Q25" s="52">
        <v>-23277</v>
      </c>
      <c r="R25" s="52">
        <v>-7351</v>
      </c>
      <c r="S25" s="52">
        <v>-15172</v>
      </c>
      <c r="T25" s="52">
        <v>-12478</v>
      </c>
      <c r="U25" s="52">
        <v>-11849</v>
      </c>
      <c r="V25" s="52">
        <v>-14964</v>
      </c>
      <c r="W25" s="52">
        <v>-17043</v>
      </c>
      <c r="X25" s="52">
        <v>-7392</v>
      </c>
      <c r="Y25" s="52">
        <v>-10694</v>
      </c>
      <c r="Z25" s="52">
        <v>-10096</v>
      </c>
      <c r="AA25" s="52">
        <v>-11252</v>
      </c>
      <c r="AB25" s="52">
        <v>-4143</v>
      </c>
      <c r="AC25" s="52">
        <v>-21680</v>
      </c>
      <c r="AD25" s="52">
        <v>-8713</v>
      </c>
      <c r="AE25" s="52">
        <v>-18105</v>
      </c>
      <c r="AF25" s="52">
        <v>-4193</v>
      </c>
      <c r="AG25" s="52">
        <v>-11726</v>
      </c>
      <c r="AH25" s="52">
        <v>-22983</v>
      </c>
      <c r="AI25" s="52">
        <v>-17091</v>
      </c>
      <c r="AJ25" s="52">
        <v>-37096</v>
      </c>
      <c r="AK25" s="52">
        <v>-48178</v>
      </c>
      <c r="AL25" s="52">
        <v>47857</v>
      </c>
      <c r="AM25" s="52">
        <v>-19832</v>
      </c>
      <c r="AN25" s="9"/>
    </row>
    <row r="26" spans="1:41" ht="13" customHeight="1">
      <c r="A26" s="116" t="s">
        <v>295</v>
      </c>
      <c r="B26" s="116" t="s">
        <v>130</v>
      </c>
      <c r="C26" s="38">
        <f t="shared" ref="C26:S26" si="11">SUM(C27:C29)</f>
        <v>-18954</v>
      </c>
      <c r="D26" s="38">
        <f t="shared" si="11"/>
        <v>-20934</v>
      </c>
      <c r="E26" s="38">
        <f t="shared" si="11"/>
        <v>-22935</v>
      </c>
      <c r="F26" s="38">
        <f t="shared" si="11"/>
        <v>-23540</v>
      </c>
      <c r="G26" s="38">
        <f t="shared" si="11"/>
        <v>-24977</v>
      </c>
      <c r="H26" s="38">
        <f t="shared" si="11"/>
        <v>-22526</v>
      </c>
      <c r="I26" s="38">
        <f t="shared" si="11"/>
        <v>-23166</v>
      </c>
      <c r="J26" s="38">
        <f t="shared" si="11"/>
        <v>-34808</v>
      </c>
      <c r="K26" s="38">
        <f t="shared" si="11"/>
        <v>-45105</v>
      </c>
      <c r="L26" s="38">
        <f t="shared" si="11"/>
        <v>-43430</v>
      </c>
      <c r="M26" s="38">
        <f t="shared" si="11"/>
        <v>-57976</v>
      </c>
      <c r="N26" s="38">
        <f t="shared" si="11"/>
        <v>-30529</v>
      </c>
      <c r="O26" s="38">
        <f t="shared" si="11"/>
        <v>-43235</v>
      </c>
      <c r="P26" s="38">
        <f t="shared" si="11"/>
        <v>-42810</v>
      </c>
      <c r="Q26" s="38">
        <f t="shared" si="11"/>
        <v>-44800</v>
      </c>
      <c r="R26" s="38">
        <f t="shared" si="11"/>
        <v>-43682</v>
      </c>
      <c r="S26" s="38">
        <f t="shared" si="11"/>
        <v>-59139</v>
      </c>
      <c r="T26" s="38">
        <f>SUM(T27:T29)</f>
        <v>-61584</v>
      </c>
      <c r="U26" s="38">
        <f>SUM(U27:U29)</f>
        <v>-61263</v>
      </c>
      <c r="V26" s="38">
        <v>-65607</v>
      </c>
      <c r="W26" s="38">
        <f>SUM(W27:W29)</f>
        <v>-60867</v>
      </c>
      <c r="X26" s="38">
        <v>-58955</v>
      </c>
      <c r="Y26" s="38">
        <v>-109172</v>
      </c>
      <c r="Z26" s="64">
        <f t="shared" ref="Z26:AE26" si="12">SUM(Z27:Z29)</f>
        <v>-58663.569969999997</v>
      </c>
      <c r="AA26" s="64">
        <f t="shared" si="12"/>
        <v>-55717</v>
      </c>
      <c r="AB26" s="64">
        <f t="shared" si="12"/>
        <v>-57127</v>
      </c>
      <c r="AC26" s="64">
        <f t="shared" si="12"/>
        <v>-60992</v>
      </c>
      <c r="AD26" s="64">
        <f t="shared" si="12"/>
        <v>-59147</v>
      </c>
      <c r="AE26" s="64">
        <f t="shared" si="12"/>
        <v>-57419</v>
      </c>
      <c r="AF26" s="64">
        <f t="shared" ref="AF26:AK26" si="13">SUM(AF27:AF29)</f>
        <v>-58893</v>
      </c>
      <c r="AG26" s="64">
        <f t="shared" si="13"/>
        <v>-59906</v>
      </c>
      <c r="AH26" s="64">
        <f t="shared" si="13"/>
        <v>-65797</v>
      </c>
      <c r="AI26" s="64">
        <f t="shared" si="13"/>
        <v>-64681</v>
      </c>
      <c r="AJ26" s="64">
        <f t="shared" si="13"/>
        <v>-67591</v>
      </c>
      <c r="AK26" s="64">
        <f t="shared" si="13"/>
        <v>-61591</v>
      </c>
      <c r="AL26" s="64">
        <f t="shared" ref="AL26:AM26" si="14">SUM(AL27:AL29)</f>
        <v>-64913</v>
      </c>
      <c r="AM26" s="64">
        <f t="shared" si="14"/>
        <v>-64151</v>
      </c>
      <c r="AN26" s="9"/>
    </row>
    <row r="27" spans="1:41" ht="13" customHeight="1">
      <c r="A27" s="117" t="s">
        <v>296</v>
      </c>
      <c r="B27" s="117" t="s">
        <v>698</v>
      </c>
      <c r="C27" s="52">
        <v>-11480</v>
      </c>
      <c r="D27" s="52">
        <v>-11899</v>
      </c>
      <c r="E27" s="52">
        <v>-14230</v>
      </c>
      <c r="F27" s="52">
        <v>-13354</v>
      </c>
      <c r="G27" s="52">
        <v>-15439</v>
      </c>
      <c r="H27" s="52">
        <v>-12938</v>
      </c>
      <c r="I27" s="52">
        <v>-14122</v>
      </c>
      <c r="J27" s="52">
        <v>-22396</v>
      </c>
      <c r="K27" s="52">
        <v>-28454</v>
      </c>
      <c r="L27" s="52">
        <v>-25518</v>
      </c>
      <c r="M27" s="52">
        <v>-28583</v>
      </c>
      <c r="N27" s="52">
        <v>-23461</v>
      </c>
      <c r="O27" s="52">
        <v>-24172</v>
      </c>
      <c r="P27" s="52">
        <v>-23886</v>
      </c>
      <c r="Q27" s="52">
        <v>-24610</v>
      </c>
      <c r="R27" s="52">
        <v>-24883</v>
      </c>
      <c r="S27" s="52">
        <v>-22767</v>
      </c>
      <c r="T27" s="52">
        <v>-22028</v>
      </c>
      <c r="U27" s="52">
        <v>-21694</v>
      </c>
      <c r="V27" s="52">
        <v>-20926</v>
      </c>
      <c r="W27" s="52">
        <v>-19966</v>
      </c>
      <c r="X27" s="52">
        <v>-19252</v>
      </c>
      <c r="Y27" s="52">
        <v>-22904</v>
      </c>
      <c r="Z27" s="52">
        <v>-19208</v>
      </c>
      <c r="AA27" s="52">
        <v>-18776</v>
      </c>
      <c r="AB27" s="52">
        <v>-18208</v>
      </c>
      <c r="AC27" s="52">
        <v>-18197</v>
      </c>
      <c r="AD27" s="52">
        <v>-17581</v>
      </c>
      <c r="AE27" s="52">
        <v>-17748</v>
      </c>
      <c r="AF27" s="52">
        <v>-17259</v>
      </c>
      <c r="AG27" s="52">
        <v>-17399</v>
      </c>
      <c r="AH27" s="52">
        <v>-19319</v>
      </c>
      <c r="AI27" s="52">
        <v>-20939</v>
      </c>
      <c r="AJ27" s="52">
        <v>-21908</v>
      </c>
      <c r="AK27" s="52">
        <v>-20436</v>
      </c>
      <c r="AL27" s="52">
        <v>-22037</v>
      </c>
      <c r="AM27" s="52">
        <v>-21830</v>
      </c>
      <c r="AN27" s="9"/>
    </row>
    <row r="28" spans="1:41" ht="13" customHeight="1">
      <c r="A28" s="117" t="s">
        <v>297</v>
      </c>
      <c r="B28" s="117" t="s">
        <v>131</v>
      </c>
      <c r="C28" s="52">
        <v>-7474</v>
      </c>
      <c r="D28" s="52">
        <v>-9035</v>
      </c>
      <c r="E28" s="52">
        <v>-8705</v>
      </c>
      <c r="F28" s="52">
        <v>-10186</v>
      </c>
      <c r="G28" s="52">
        <v>-9538</v>
      </c>
      <c r="H28" s="52">
        <v>-9588</v>
      </c>
      <c r="I28" s="52">
        <v>-9044</v>
      </c>
      <c r="J28" s="52">
        <v>-12412</v>
      </c>
      <c r="K28" s="52">
        <v>-16651</v>
      </c>
      <c r="L28" s="52">
        <v>-17912</v>
      </c>
      <c r="M28" s="52">
        <v>-29393</v>
      </c>
      <c r="N28" s="52">
        <v>-7068</v>
      </c>
      <c r="O28" s="52">
        <v>-19063</v>
      </c>
      <c r="P28" s="52">
        <v>-18924</v>
      </c>
      <c r="Q28" s="52">
        <v>-20190</v>
      </c>
      <c r="R28" s="52">
        <v>-18799</v>
      </c>
      <c r="S28" s="52">
        <v>-14734</v>
      </c>
      <c r="T28" s="52">
        <v>-15784</v>
      </c>
      <c r="U28" s="52">
        <v>-15241</v>
      </c>
      <c r="V28" s="52">
        <v>-22208</v>
      </c>
      <c r="W28" s="52">
        <v>-17169</v>
      </c>
      <c r="X28" s="52">
        <v>-16388</v>
      </c>
      <c r="Y28" s="52">
        <v>-63578</v>
      </c>
      <c r="Z28" s="52">
        <v>-15924</v>
      </c>
      <c r="AA28" s="52">
        <v>-14771</v>
      </c>
      <c r="AB28" s="52">
        <v>-15543</v>
      </c>
      <c r="AC28" s="52">
        <v>-16296</v>
      </c>
      <c r="AD28" s="52">
        <v>-17059</v>
      </c>
      <c r="AE28" s="52">
        <v>-16590</v>
      </c>
      <c r="AF28" s="52">
        <v>-18666</v>
      </c>
      <c r="AG28" s="52">
        <v>-19132</v>
      </c>
      <c r="AH28" s="52">
        <v>-22587</v>
      </c>
      <c r="AI28" s="52">
        <v>-19607</v>
      </c>
      <c r="AJ28" s="52">
        <v>-21889</v>
      </c>
      <c r="AK28" s="52">
        <v>-20243</v>
      </c>
      <c r="AL28" s="52">
        <v>-24070</v>
      </c>
      <c r="AM28" s="52">
        <v>-21771</v>
      </c>
      <c r="AN28" s="9"/>
    </row>
    <row r="29" spans="1:41" ht="13" customHeight="1">
      <c r="A29" s="117" t="s">
        <v>512</v>
      </c>
      <c r="B29" s="117" t="s">
        <v>511</v>
      </c>
      <c r="C29" s="55" t="s">
        <v>97</v>
      </c>
      <c r="D29" s="55" t="s">
        <v>97</v>
      </c>
      <c r="E29" s="55" t="s">
        <v>97</v>
      </c>
      <c r="F29" s="55" t="s">
        <v>97</v>
      </c>
      <c r="G29" s="55" t="s">
        <v>97</v>
      </c>
      <c r="H29" s="55" t="s">
        <v>97</v>
      </c>
      <c r="I29" s="55" t="s">
        <v>97</v>
      </c>
      <c r="J29" s="55" t="s">
        <v>97</v>
      </c>
      <c r="K29" s="55" t="s">
        <v>97</v>
      </c>
      <c r="L29" s="55" t="s">
        <v>97</v>
      </c>
      <c r="M29" s="55" t="s">
        <v>97</v>
      </c>
      <c r="N29" s="55" t="s">
        <v>97</v>
      </c>
      <c r="O29" s="55" t="s">
        <v>97</v>
      </c>
      <c r="P29" s="55" t="s">
        <v>97</v>
      </c>
      <c r="Q29" s="55" t="s">
        <v>97</v>
      </c>
      <c r="R29" s="55" t="s">
        <v>97</v>
      </c>
      <c r="S29" s="52">
        <v>-21638</v>
      </c>
      <c r="T29" s="52">
        <v>-23772</v>
      </c>
      <c r="U29" s="52">
        <v>-24328</v>
      </c>
      <c r="V29" s="52">
        <v>-22473</v>
      </c>
      <c r="W29" s="52">
        <v>-23732</v>
      </c>
      <c r="X29" s="52">
        <v>-23315</v>
      </c>
      <c r="Y29" s="52">
        <v>-22690</v>
      </c>
      <c r="Z29" s="52">
        <v>-23531.569969999997</v>
      </c>
      <c r="AA29" s="52">
        <v>-22170</v>
      </c>
      <c r="AB29" s="52">
        <v>-23376</v>
      </c>
      <c r="AC29" s="52">
        <v>-26499</v>
      </c>
      <c r="AD29" s="52">
        <v>-24507</v>
      </c>
      <c r="AE29" s="52">
        <v>-23081</v>
      </c>
      <c r="AF29" s="52">
        <v>-22968</v>
      </c>
      <c r="AG29" s="52">
        <v>-23375</v>
      </c>
      <c r="AH29" s="52">
        <v>-23891</v>
      </c>
      <c r="AI29" s="52">
        <v>-24135</v>
      </c>
      <c r="AJ29" s="52">
        <v>-23794</v>
      </c>
      <c r="AK29" s="52">
        <v>-20912</v>
      </c>
      <c r="AL29" s="52">
        <v>-18806</v>
      </c>
      <c r="AM29" s="52">
        <v>-20550</v>
      </c>
      <c r="AN29" s="9"/>
    </row>
    <row r="30" spans="1:41" ht="13" customHeight="1">
      <c r="A30" s="116" t="s">
        <v>298</v>
      </c>
      <c r="B30" s="116" t="s">
        <v>132</v>
      </c>
      <c r="C30" s="38">
        <v>-2172</v>
      </c>
      <c r="D30" s="38">
        <v>-704</v>
      </c>
      <c r="E30" s="38">
        <v>-2235</v>
      </c>
      <c r="F30" s="38">
        <v>-1172</v>
      </c>
      <c r="G30" s="38">
        <v>-2824</v>
      </c>
      <c r="H30" s="38">
        <v>-1818</v>
      </c>
      <c r="I30" s="38">
        <v>-2338</v>
      </c>
      <c r="J30" s="38">
        <v>-391</v>
      </c>
      <c r="K30" s="38">
        <v>-2290</v>
      </c>
      <c r="L30" s="38">
        <v>-1593</v>
      </c>
      <c r="M30" s="38">
        <v>-2154</v>
      </c>
      <c r="N30" s="38">
        <v>-5490</v>
      </c>
      <c r="O30" s="38">
        <v>-1839</v>
      </c>
      <c r="P30" s="38">
        <v>-1696</v>
      </c>
      <c r="Q30" s="38">
        <v>-8758</v>
      </c>
      <c r="R30" s="38">
        <v>-12233</v>
      </c>
      <c r="S30" s="38">
        <v>-3759</v>
      </c>
      <c r="T30" s="38">
        <v>-6409</v>
      </c>
      <c r="U30" s="38">
        <v>-7158</v>
      </c>
      <c r="V30" s="38">
        <v>-6809</v>
      </c>
      <c r="W30" s="38">
        <v>-6089</v>
      </c>
      <c r="X30" s="38">
        <v>-6371</v>
      </c>
      <c r="Y30" s="38">
        <v>-6216</v>
      </c>
      <c r="Z30" s="64">
        <v>-6513</v>
      </c>
      <c r="AA30" s="64">
        <v>-6340</v>
      </c>
      <c r="AB30" s="64">
        <v>-6645</v>
      </c>
      <c r="AC30" s="64">
        <v>-6646</v>
      </c>
      <c r="AD30" s="64">
        <v>-11649</v>
      </c>
      <c r="AE30" s="64">
        <v>-6745</v>
      </c>
      <c r="AF30" s="64">
        <v>-7171</v>
      </c>
      <c r="AG30" s="64">
        <v>-7073</v>
      </c>
      <c r="AH30" s="64">
        <v>-7411</v>
      </c>
      <c r="AI30" s="64">
        <v>-7584</v>
      </c>
      <c r="AJ30" s="64">
        <v>-7375</v>
      </c>
      <c r="AK30" s="64">
        <v>-6522</v>
      </c>
      <c r="AL30" s="64">
        <v>-20397</v>
      </c>
      <c r="AM30" s="64">
        <v>-7668</v>
      </c>
      <c r="AN30" s="9"/>
      <c r="AO30" s="9"/>
    </row>
    <row r="31" spans="1:41" ht="13" customHeight="1">
      <c r="A31" s="116" t="s">
        <v>299</v>
      </c>
      <c r="B31" s="116" t="s">
        <v>133</v>
      </c>
      <c r="C31" s="38">
        <f t="shared" ref="C31:S31" si="15">C3+C12+C26+C30</f>
        <v>-257858</v>
      </c>
      <c r="D31" s="38">
        <f t="shared" si="15"/>
        <v>-262534</v>
      </c>
      <c r="E31" s="38">
        <f t="shared" si="15"/>
        <v>-262421</v>
      </c>
      <c r="F31" s="38">
        <f t="shared" si="15"/>
        <v>-325079</v>
      </c>
      <c r="G31" s="38">
        <f t="shared" si="15"/>
        <v>-276614</v>
      </c>
      <c r="H31" s="38">
        <f t="shared" si="15"/>
        <v>-287215</v>
      </c>
      <c r="I31" s="38">
        <f t="shared" si="15"/>
        <v>-297109</v>
      </c>
      <c r="J31" s="38">
        <f t="shared" si="15"/>
        <v>-705622</v>
      </c>
      <c r="K31" s="38">
        <f t="shared" si="15"/>
        <v>-498903</v>
      </c>
      <c r="L31" s="38">
        <f t="shared" si="15"/>
        <v>-503156</v>
      </c>
      <c r="M31" s="38">
        <f t="shared" si="15"/>
        <v>-401139</v>
      </c>
      <c r="N31" s="38">
        <f t="shared" si="15"/>
        <v>-450379</v>
      </c>
      <c r="O31" s="38">
        <f t="shared" si="15"/>
        <v>-456093</v>
      </c>
      <c r="P31" s="38">
        <f t="shared" si="15"/>
        <v>-430160</v>
      </c>
      <c r="Q31" s="38">
        <f t="shared" si="15"/>
        <v>-411309</v>
      </c>
      <c r="R31" s="38">
        <f t="shared" si="15"/>
        <v>-407441</v>
      </c>
      <c r="S31" s="38">
        <f t="shared" si="15"/>
        <v>-512397</v>
      </c>
      <c r="T31" s="38">
        <f>T3+T12+T26+T30</f>
        <v>-393558</v>
      </c>
      <c r="U31" s="38">
        <v>-371987</v>
      </c>
      <c r="V31" s="38">
        <v>-352162</v>
      </c>
      <c r="W31" s="38">
        <f t="shared" ref="W31:AC31" si="16">W3+W12+W26+W30</f>
        <v>-481591</v>
      </c>
      <c r="X31" s="38">
        <f t="shared" si="16"/>
        <v>-394980</v>
      </c>
      <c r="Y31" s="38">
        <f t="shared" si="16"/>
        <v>-407800</v>
      </c>
      <c r="Z31" s="64">
        <f t="shared" si="16"/>
        <v>-380159.56997000001</v>
      </c>
      <c r="AA31" s="64">
        <f t="shared" si="16"/>
        <v>-417941</v>
      </c>
      <c r="AB31" s="64">
        <f t="shared" si="16"/>
        <v>-379330</v>
      </c>
      <c r="AC31" s="64">
        <f t="shared" si="16"/>
        <v>-393872</v>
      </c>
      <c r="AD31" s="64">
        <f>AD3+AD12+AD26+AD30</f>
        <v>-391401</v>
      </c>
      <c r="AE31" s="64">
        <f t="shared" ref="AE31:AF31" si="17">AE3+AE12+AE26+AE30</f>
        <v>-493014</v>
      </c>
      <c r="AF31" s="64">
        <f t="shared" si="17"/>
        <v>-591445</v>
      </c>
      <c r="AG31" s="64">
        <f t="shared" ref="AG31:AH31" si="18">AG3+AG12+AG26+AG30</f>
        <v>-456351</v>
      </c>
      <c r="AH31" s="64">
        <f t="shared" si="18"/>
        <v>-456698</v>
      </c>
      <c r="AI31" s="64">
        <f>AI3+AI12+AI26+AI30</f>
        <v>-505454</v>
      </c>
      <c r="AJ31" s="64">
        <f t="shared" ref="AJ31" si="19">AJ3+AJ12+AJ26+AJ30</f>
        <v>-489598</v>
      </c>
      <c r="AK31" s="64">
        <f t="shared" ref="AK31:AL31" si="20">AK3+AK12+AK26+AK30</f>
        <v>-483864</v>
      </c>
      <c r="AL31" s="64">
        <f t="shared" si="20"/>
        <v>-496887</v>
      </c>
      <c r="AM31" s="64">
        <f t="shared" ref="AM31" si="21">AM3+AM12+AM26+AM30</f>
        <v>-545328</v>
      </c>
      <c r="AN31" s="9"/>
    </row>
    <row r="32" spans="1:41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M37"/>
  <sheetViews>
    <sheetView zoomScaleNormal="100" workbookViewId="0">
      <pane xSplit="2" ySplit="2" topLeftCell="AG5" activePane="bottomRight" state="frozen"/>
      <selection sqref="A1:B1048576"/>
      <selection pane="topRight" sqref="A1:B1048576"/>
      <selection pane="bottomLeft" sqref="A1:B1048576"/>
      <selection pane="bottomRight" activeCell="B24" sqref="B24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684</v>
      </c>
      <c r="AL1" s="1" t="s">
        <v>689</v>
      </c>
      <c r="AM1" s="1" t="s">
        <v>695</v>
      </c>
    </row>
    <row r="2" spans="1:39" ht="13" customHeight="1" thickBot="1">
      <c r="A2" s="111" t="s">
        <v>340</v>
      </c>
      <c r="B2" s="111" t="s">
        <v>638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</row>
    <row r="3" spans="1:39" ht="13" customHeight="1" thickBot="1">
      <c r="A3" s="118" t="s">
        <v>260</v>
      </c>
      <c r="B3" s="118" t="s">
        <v>700</v>
      </c>
      <c r="C3" s="32">
        <v>-139411</v>
      </c>
      <c r="D3" s="32">
        <v>-171550</v>
      </c>
      <c r="E3" s="32">
        <v>-159021</v>
      </c>
      <c r="F3" s="32">
        <v>-179155</v>
      </c>
      <c r="G3" s="32">
        <v>-161366</v>
      </c>
      <c r="H3" s="32">
        <v>-158213</v>
      </c>
      <c r="I3" s="32">
        <v>-187100</v>
      </c>
      <c r="J3" s="32">
        <v>-224728</v>
      </c>
      <c r="K3" s="32">
        <v>-191815</v>
      </c>
      <c r="L3" s="32">
        <v>-241103</v>
      </c>
      <c r="M3" s="32">
        <v>-189063</v>
      </c>
      <c r="N3" s="32">
        <v>-265971</v>
      </c>
      <c r="O3" s="32">
        <v>-289904</v>
      </c>
      <c r="P3" s="32">
        <v>-256111</v>
      </c>
      <c r="Q3" s="32">
        <v>-301583</v>
      </c>
      <c r="R3" s="32">
        <v>-402493</v>
      </c>
      <c r="S3" s="32">
        <v>-308885</v>
      </c>
      <c r="T3" s="32">
        <v>-508721</v>
      </c>
      <c r="U3" s="32">
        <f>U4</f>
        <v>-356098</v>
      </c>
      <c r="V3" s="32">
        <v>-353797</v>
      </c>
      <c r="W3" s="32">
        <f t="shared" ref="W3:AM3" si="0">W4</f>
        <v>-264994</v>
      </c>
      <c r="X3" s="32">
        <f t="shared" si="0"/>
        <v>-727362</v>
      </c>
      <c r="Y3" s="32">
        <f t="shared" si="0"/>
        <v>-243493</v>
      </c>
      <c r="Z3" s="32">
        <f t="shared" si="0"/>
        <v>-331158</v>
      </c>
      <c r="AA3" s="32">
        <f t="shared" si="0"/>
        <v>-395036</v>
      </c>
      <c r="AB3" s="32">
        <f t="shared" si="0"/>
        <v>-286989</v>
      </c>
      <c r="AC3" s="32">
        <f t="shared" si="0"/>
        <v>-304669</v>
      </c>
      <c r="AD3" s="32">
        <f t="shared" si="0"/>
        <v>-168762</v>
      </c>
      <c r="AE3" s="32">
        <f t="shared" si="0"/>
        <v>-213746</v>
      </c>
      <c r="AF3" s="32">
        <f t="shared" si="0"/>
        <v>-272146</v>
      </c>
      <c r="AG3" s="32">
        <f t="shared" si="0"/>
        <v>-252223</v>
      </c>
      <c r="AH3" s="32">
        <f t="shared" si="0"/>
        <v>-345837</v>
      </c>
      <c r="AI3" s="32">
        <f t="shared" si="0"/>
        <v>-309681</v>
      </c>
      <c r="AJ3" s="32">
        <f t="shared" si="0"/>
        <v>-202810</v>
      </c>
      <c r="AK3" s="32">
        <f t="shared" si="0"/>
        <v>-110817</v>
      </c>
      <c r="AL3" s="32">
        <f t="shared" si="0"/>
        <v>-230618</v>
      </c>
      <c r="AM3" s="32">
        <f t="shared" si="0"/>
        <v>-165594</v>
      </c>
    </row>
    <row r="4" spans="1:39" ht="13" customHeight="1" thickBot="1">
      <c r="A4" s="119" t="s">
        <v>261</v>
      </c>
      <c r="B4" s="119" t="s">
        <v>98</v>
      </c>
      <c r="C4" s="33">
        <v>-139411</v>
      </c>
      <c r="D4" s="33">
        <v>-171550</v>
      </c>
      <c r="E4" s="33">
        <v>-159021</v>
      </c>
      <c r="F4" s="33">
        <v>-179155</v>
      </c>
      <c r="G4" s="33">
        <v>-161366</v>
      </c>
      <c r="H4" s="33">
        <v>-158213</v>
      </c>
      <c r="I4" s="33">
        <v>-187100</v>
      </c>
      <c r="J4" s="33">
        <v>-224728</v>
      </c>
      <c r="K4" s="33">
        <v>-191815</v>
      </c>
      <c r="L4" s="33">
        <v>-241103</v>
      </c>
      <c r="M4" s="33">
        <v>-189063</v>
      </c>
      <c r="N4" s="33">
        <v>-265971</v>
      </c>
      <c r="O4" s="33">
        <v>-289904</v>
      </c>
      <c r="P4" s="33">
        <v>-256111</v>
      </c>
      <c r="Q4" s="33">
        <v>-301583</v>
      </c>
      <c r="R4" s="33">
        <v>-402493</v>
      </c>
      <c r="S4" s="33">
        <v>-308885</v>
      </c>
      <c r="T4" s="33">
        <v>-508721</v>
      </c>
      <c r="U4" s="33">
        <f>U5+U6</f>
        <v>-356098</v>
      </c>
      <c r="V4" s="33">
        <v>-353797</v>
      </c>
      <c r="W4" s="33">
        <f>W5+W6</f>
        <v>-264994</v>
      </c>
      <c r="X4" s="33">
        <f>X5+X6</f>
        <v>-727362</v>
      </c>
      <c r="Y4" s="33">
        <v>-243493</v>
      </c>
      <c r="Z4" s="33">
        <f t="shared" ref="Z4:AE4" si="1">Z5+Z6</f>
        <v>-331158</v>
      </c>
      <c r="AA4" s="33">
        <f t="shared" si="1"/>
        <v>-395036</v>
      </c>
      <c r="AB4" s="33">
        <f t="shared" si="1"/>
        <v>-286989</v>
      </c>
      <c r="AC4" s="33">
        <f t="shared" si="1"/>
        <v>-304669</v>
      </c>
      <c r="AD4" s="33">
        <f t="shared" si="1"/>
        <v>-168762</v>
      </c>
      <c r="AE4" s="33">
        <f t="shared" si="1"/>
        <v>-213746</v>
      </c>
      <c r="AF4" s="33">
        <f t="shared" ref="AF4:AG4" si="2">AF5+AF6</f>
        <v>-272146</v>
      </c>
      <c r="AG4" s="33">
        <f t="shared" si="2"/>
        <v>-252223</v>
      </c>
      <c r="AH4" s="33">
        <f t="shared" ref="AH4:AI4" si="3">AH5+AH6</f>
        <v>-345837</v>
      </c>
      <c r="AI4" s="33">
        <f t="shared" si="3"/>
        <v>-309681</v>
      </c>
      <c r="AJ4" s="33">
        <f t="shared" ref="AJ4:AL4" si="4">AJ5+AJ6</f>
        <v>-202810</v>
      </c>
      <c r="AK4" s="33">
        <f t="shared" si="4"/>
        <v>-110817</v>
      </c>
      <c r="AL4" s="33">
        <f t="shared" si="4"/>
        <v>-230618</v>
      </c>
      <c r="AM4" s="33">
        <f t="shared" ref="AM4" si="5">AM5+AM6</f>
        <v>-165594</v>
      </c>
    </row>
    <row r="5" spans="1:39" ht="13" customHeight="1" thickBot="1">
      <c r="A5" s="120" t="s">
        <v>262</v>
      </c>
      <c r="B5" s="120" t="s">
        <v>99</v>
      </c>
      <c r="C5" s="34">
        <v>-91063</v>
      </c>
      <c r="D5" s="34">
        <v>-117224</v>
      </c>
      <c r="E5" s="34">
        <v>-99927</v>
      </c>
      <c r="F5" s="34">
        <v>-138004</v>
      </c>
      <c r="G5" s="34">
        <v>-111289</v>
      </c>
      <c r="H5" s="34">
        <v>-96906</v>
      </c>
      <c r="I5" s="34">
        <v>-121787</v>
      </c>
      <c r="J5" s="34">
        <v>-144881</v>
      </c>
      <c r="K5" s="34">
        <v>-119944</v>
      </c>
      <c r="L5" s="34">
        <v>-149220</v>
      </c>
      <c r="M5" s="34">
        <v>-74684</v>
      </c>
      <c r="N5" s="34">
        <v>-147621</v>
      </c>
      <c r="O5" s="34">
        <v>-150043</v>
      </c>
      <c r="P5" s="34">
        <v>-119581</v>
      </c>
      <c r="Q5" s="34">
        <v>-141853</v>
      </c>
      <c r="R5" s="34">
        <v>-136119</v>
      </c>
      <c r="S5" s="34">
        <v>-129922</v>
      </c>
      <c r="T5" s="34">
        <v>-143949</v>
      </c>
      <c r="U5" s="34">
        <v>-170592</v>
      </c>
      <c r="V5" s="34">
        <v>-157486</v>
      </c>
      <c r="W5" s="34">
        <v>-153663</v>
      </c>
      <c r="X5" s="34">
        <v>-237514</v>
      </c>
      <c r="Y5" s="34">
        <v>-129115</v>
      </c>
      <c r="Z5" s="34">
        <v>-198527</v>
      </c>
      <c r="AA5" s="34">
        <v>-213412</v>
      </c>
      <c r="AB5" s="34">
        <v>-90107</v>
      </c>
      <c r="AC5" s="34">
        <v>-82238</v>
      </c>
      <c r="AD5" s="34">
        <v>-68055</v>
      </c>
      <c r="AE5" s="34">
        <v>-108267</v>
      </c>
      <c r="AF5" s="34">
        <v>-110731</v>
      </c>
      <c r="AG5" s="34">
        <v>-149688</v>
      </c>
      <c r="AH5" s="34">
        <v>-184031</v>
      </c>
      <c r="AI5" s="34">
        <v>-160036</v>
      </c>
      <c r="AJ5" s="34">
        <v>-121946</v>
      </c>
      <c r="AK5" s="34">
        <v>-71382</v>
      </c>
      <c r="AL5" s="34">
        <v>-112627</v>
      </c>
      <c r="AM5" s="34">
        <v>-95415</v>
      </c>
    </row>
    <row r="6" spans="1:39" ht="13" customHeight="1" thickBot="1">
      <c r="A6" s="120" t="s">
        <v>263</v>
      </c>
      <c r="B6" s="120" t="s">
        <v>100</v>
      </c>
      <c r="C6" s="34">
        <v>-48348</v>
      </c>
      <c r="D6" s="34">
        <v>-54326</v>
      </c>
      <c r="E6" s="34">
        <v>-59094</v>
      </c>
      <c r="F6" s="34">
        <v>-41151</v>
      </c>
      <c r="G6" s="34">
        <v>-50077</v>
      </c>
      <c r="H6" s="34">
        <v>-61307</v>
      </c>
      <c r="I6" s="34">
        <v>-65313</v>
      </c>
      <c r="J6" s="34">
        <v>-79847</v>
      </c>
      <c r="K6" s="34">
        <v>-71871</v>
      </c>
      <c r="L6" s="34">
        <v>-91883</v>
      </c>
      <c r="M6" s="34">
        <v>-114379</v>
      </c>
      <c r="N6" s="34">
        <v>-118350</v>
      </c>
      <c r="O6" s="34">
        <v>-139861</v>
      </c>
      <c r="P6" s="34">
        <v>-136530</v>
      </c>
      <c r="Q6" s="34">
        <v>-159730</v>
      </c>
      <c r="R6" s="34">
        <v>-266374</v>
      </c>
      <c r="S6" s="34">
        <v>-178963</v>
      </c>
      <c r="T6" s="34">
        <v>-364772</v>
      </c>
      <c r="U6" s="34">
        <v>-185506</v>
      </c>
      <c r="V6" s="34">
        <v>-196311</v>
      </c>
      <c r="W6" s="34">
        <v>-111331</v>
      </c>
      <c r="X6" s="34">
        <v>-489848</v>
      </c>
      <c r="Y6" s="34">
        <v>-114378</v>
      </c>
      <c r="Z6" s="34">
        <v>-132631</v>
      </c>
      <c r="AA6" s="34">
        <v>-181624</v>
      </c>
      <c r="AB6" s="34">
        <v>-196882</v>
      </c>
      <c r="AC6" s="34">
        <v>-222431</v>
      </c>
      <c r="AD6" s="34">
        <v>-100707</v>
      </c>
      <c r="AE6" s="34">
        <v>-105479</v>
      </c>
      <c r="AF6" s="34">
        <v>-161415</v>
      </c>
      <c r="AG6" s="34">
        <v>-102535</v>
      </c>
      <c r="AH6" s="34">
        <v>-161806</v>
      </c>
      <c r="AI6" s="34">
        <v>-149645</v>
      </c>
      <c r="AJ6" s="34">
        <v>-80864</v>
      </c>
      <c r="AK6" s="34">
        <v>-39435</v>
      </c>
      <c r="AL6" s="34">
        <v>-117991</v>
      </c>
      <c r="AM6" s="34">
        <v>-70179</v>
      </c>
    </row>
    <row r="7" spans="1:39" ht="13" customHeight="1" thickBot="1">
      <c r="A7" s="121" t="s">
        <v>272</v>
      </c>
      <c r="B7" s="121" t="s">
        <v>110</v>
      </c>
      <c r="C7" s="35">
        <v>0</v>
      </c>
      <c r="D7" s="35">
        <v>0</v>
      </c>
      <c r="E7" s="35">
        <v>0</v>
      </c>
      <c r="F7" s="35">
        <v>-7981</v>
      </c>
      <c r="G7" s="35">
        <v>-6974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16921</v>
      </c>
      <c r="O7" s="35" t="s">
        <v>97</v>
      </c>
      <c r="P7" s="35" t="s">
        <v>97</v>
      </c>
      <c r="Q7" s="35" t="s">
        <v>97</v>
      </c>
      <c r="R7" s="35" t="s">
        <v>97</v>
      </c>
      <c r="S7" s="35" t="s">
        <v>97</v>
      </c>
      <c r="T7" s="35" t="s">
        <v>97</v>
      </c>
      <c r="U7" s="35" t="s">
        <v>97</v>
      </c>
      <c r="V7" s="35" t="s">
        <v>97</v>
      </c>
      <c r="W7" s="35" t="s">
        <v>97</v>
      </c>
      <c r="X7" s="35" t="s">
        <v>97</v>
      </c>
      <c r="Y7" s="35" t="s">
        <v>97</v>
      </c>
      <c r="Z7" s="35" t="s">
        <v>97</v>
      </c>
      <c r="AA7" s="35" t="s">
        <v>97</v>
      </c>
      <c r="AB7" s="35" t="s">
        <v>97</v>
      </c>
      <c r="AC7" s="35" t="s">
        <v>97</v>
      </c>
      <c r="AD7" s="35" t="s">
        <v>97</v>
      </c>
      <c r="AE7" s="35" t="s">
        <v>97</v>
      </c>
      <c r="AF7" s="35" t="s">
        <v>97</v>
      </c>
      <c r="AG7" s="35" t="s">
        <v>97</v>
      </c>
      <c r="AH7" s="35" t="s">
        <v>97</v>
      </c>
      <c r="AI7" s="35" t="s">
        <v>97</v>
      </c>
      <c r="AJ7" s="35" t="s">
        <v>97</v>
      </c>
      <c r="AK7" s="35" t="s">
        <v>97</v>
      </c>
      <c r="AL7" s="35" t="s">
        <v>97</v>
      </c>
      <c r="AM7" s="35" t="s">
        <v>97</v>
      </c>
    </row>
    <row r="8" spans="1:39" ht="13" customHeight="1" thickBot="1">
      <c r="A8" s="121" t="s">
        <v>153</v>
      </c>
      <c r="B8" s="121" t="s">
        <v>701</v>
      </c>
      <c r="C8" s="35" t="s">
        <v>97</v>
      </c>
      <c r="D8" s="35" t="s">
        <v>97</v>
      </c>
      <c r="E8" s="35" t="s">
        <v>97</v>
      </c>
      <c r="F8" s="35" t="s">
        <v>97</v>
      </c>
      <c r="G8" s="35" t="s">
        <v>97</v>
      </c>
      <c r="H8" s="35" t="s">
        <v>97</v>
      </c>
      <c r="I8" s="35" t="s">
        <v>97</v>
      </c>
      <c r="J8" s="35" t="s">
        <v>97</v>
      </c>
      <c r="K8" s="35" t="s">
        <v>97</v>
      </c>
      <c r="L8" s="35" t="s">
        <v>97</v>
      </c>
      <c r="M8" s="35" t="s">
        <v>97</v>
      </c>
      <c r="N8" s="35" t="s">
        <v>97</v>
      </c>
      <c r="O8" s="35">
        <v>532</v>
      </c>
      <c r="P8" s="35">
        <v>2962</v>
      </c>
      <c r="Q8" s="35">
        <v>25</v>
      </c>
      <c r="R8" s="35">
        <v>-699</v>
      </c>
      <c r="S8" s="35">
        <v>3538</v>
      </c>
      <c r="T8" s="35">
        <v>379</v>
      </c>
      <c r="U8" s="35">
        <v>346</v>
      </c>
      <c r="V8" s="35">
        <v>-1316</v>
      </c>
      <c r="W8" s="35">
        <v>-1582</v>
      </c>
      <c r="X8" s="35">
        <v>-8762</v>
      </c>
      <c r="Y8" s="35">
        <v>312</v>
      </c>
      <c r="Z8" s="35">
        <v>1340</v>
      </c>
      <c r="AA8" s="35">
        <v>-381</v>
      </c>
      <c r="AB8" s="35">
        <v>398</v>
      </c>
      <c r="AC8" s="35">
        <v>-5281</v>
      </c>
      <c r="AD8" s="35">
        <v>-4246</v>
      </c>
      <c r="AE8" s="35">
        <v>299</v>
      </c>
      <c r="AF8" s="35">
        <v>88</v>
      </c>
      <c r="AG8" s="35">
        <v>5326</v>
      </c>
      <c r="AH8" s="35">
        <v>633</v>
      </c>
      <c r="AI8" s="35">
        <v>-403</v>
      </c>
      <c r="AJ8" s="35">
        <v>7468</v>
      </c>
      <c r="AK8" s="35">
        <v>-534</v>
      </c>
      <c r="AL8" s="35">
        <v>504</v>
      </c>
      <c r="AM8" s="35">
        <v>-1519</v>
      </c>
    </row>
    <row r="9" spans="1:39" s="31" customFormat="1" ht="13" customHeight="1" thickBot="1">
      <c r="A9" s="122" t="s">
        <v>273</v>
      </c>
      <c r="B9" s="122" t="s">
        <v>109</v>
      </c>
      <c r="C9" s="36">
        <v>-2303</v>
      </c>
      <c r="D9" s="36">
        <v>16296</v>
      </c>
      <c r="E9" s="36">
        <v>-13084</v>
      </c>
      <c r="F9" s="36">
        <v>-2976</v>
      </c>
      <c r="G9" s="36">
        <v>890</v>
      </c>
      <c r="H9" s="36">
        <v>-9566</v>
      </c>
      <c r="I9" s="36">
        <v>-8887</v>
      </c>
      <c r="J9" s="36">
        <v>-18845</v>
      </c>
      <c r="K9" s="36">
        <v>-17267</v>
      </c>
      <c r="L9" s="36">
        <v>105</v>
      </c>
      <c r="M9" s="36">
        <v>-13343</v>
      </c>
      <c r="N9" s="36">
        <v>3947</v>
      </c>
      <c r="O9" s="36" t="s">
        <v>97</v>
      </c>
      <c r="P9" s="36" t="s">
        <v>97</v>
      </c>
      <c r="Q9" s="36" t="s">
        <v>97</v>
      </c>
      <c r="R9" s="36" t="s">
        <v>97</v>
      </c>
      <c r="S9" s="36" t="s">
        <v>97</v>
      </c>
      <c r="T9" s="36" t="s">
        <v>97</v>
      </c>
      <c r="U9" s="36" t="s">
        <v>97</v>
      </c>
      <c r="V9" s="36" t="s">
        <v>97</v>
      </c>
      <c r="W9" s="36" t="s">
        <v>97</v>
      </c>
      <c r="X9" s="36" t="s">
        <v>97</v>
      </c>
      <c r="Y9" s="36" t="s">
        <v>97</v>
      </c>
      <c r="Z9" s="36" t="s">
        <v>97</v>
      </c>
      <c r="AA9" s="36" t="s">
        <v>97</v>
      </c>
      <c r="AB9" s="36" t="s">
        <v>97</v>
      </c>
      <c r="AC9" s="36" t="s">
        <v>97</v>
      </c>
      <c r="AD9" s="36" t="s">
        <v>97</v>
      </c>
      <c r="AE9" s="36" t="s">
        <v>97</v>
      </c>
      <c r="AF9" s="36" t="s">
        <v>97</v>
      </c>
      <c r="AG9" s="36" t="s">
        <v>97</v>
      </c>
      <c r="AH9" s="36" t="s">
        <v>97</v>
      </c>
      <c r="AI9" s="36" t="s">
        <v>97</v>
      </c>
      <c r="AJ9" s="36" t="s">
        <v>97</v>
      </c>
      <c r="AK9" s="36" t="s">
        <v>97</v>
      </c>
      <c r="AL9" s="36" t="s">
        <v>97</v>
      </c>
      <c r="AM9" s="36" t="s">
        <v>97</v>
      </c>
    </row>
    <row r="10" spans="1:39" ht="13" customHeight="1" thickBot="1">
      <c r="A10" s="120" t="s">
        <v>262</v>
      </c>
      <c r="B10" s="120" t="s">
        <v>102</v>
      </c>
      <c r="C10" s="34">
        <v>-1177</v>
      </c>
      <c r="D10" s="34">
        <v>14759</v>
      </c>
      <c r="E10" s="34">
        <v>-13331</v>
      </c>
      <c r="F10" s="34">
        <v>-1934</v>
      </c>
      <c r="G10" s="34">
        <v>-2229</v>
      </c>
      <c r="H10" s="34">
        <v>-11410</v>
      </c>
      <c r="I10" s="34">
        <v>1116</v>
      </c>
      <c r="J10" s="34">
        <v>2106</v>
      </c>
      <c r="K10" s="34">
        <v>-5437</v>
      </c>
      <c r="L10" s="34">
        <v>33565</v>
      </c>
      <c r="M10" s="34">
        <v>1600</v>
      </c>
      <c r="N10" s="34">
        <v>-32521</v>
      </c>
      <c r="O10" s="34" t="s">
        <v>97</v>
      </c>
      <c r="P10" s="34" t="s">
        <v>97</v>
      </c>
      <c r="Q10" s="34" t="s">
        <v>97</v>
      </c>
      <c r="R10" s="34" t="s">
        <v>97</v>
      </c>
      <c r="S10" s="34" t="s">
        <v>97</v>
      </c>
      <c r="T10" s="34" t="s">
        <v>97</v>
      </c>
      <c r="U10" s="34" t="s">
        <v>97</v>
      </c>
      <c r="V10" s="34" t="s">
        <v>97</v>
      </c>
      <c r="W10" s="34" t="s">
        <v>97</v>
      </c>
      <c r="X10" s="34" t="s">
        <v>97</v>
      </c>
      <c r="Y10" s="34" t="s">
        <v>97</v>
      </c>
      <c r="Z10" s="34" t="s">
        <v>97</v>
      </c>
      <c r="AA10" s="34" t="s">
        <v>97</v>
      </c>
      <c r="AB10" s="34" t="s">
        <v>97</v>
      </c>
      <c r="AC10" s="34" t="s">
        <v>97</v>
      </c>
      <c r="AD10" s="34" t="s">
        <v>97</v>
      </c>
      <c r="AE10" s="34" t="s">
        <v>97</v>
      </c>
      <c r="AF10" s="34" t="s">
        <v>97</v>
      </c>
      <c r="AG10" s="34" t="s">
        <v>97</v>
      </c>
      <c r="AH10" s="34" t="s">
        <v>97</v>
      </c>
      <c r="AI10" s="34" t="s">
        <v>97</v>
      </c>
      <c r="AJ10" s="34" t="s">
        <v>97</v>
      </c>
      <c r="AK10" s="34" t="s">
        <v>97</v>
      </c>
      <c r="AL10" s="34" t="s">
        <v>97</v>
      </c>
      <c r="AM10" s="34" t="s">
        <v>97</v>
      </c>
    </row>
    <row r="11" spans="1:39" ht="13" customHeight="1" thickBot="1">
      <c r="A11" s="120" t="s">
        <v>263</v>
      </c>
      <c r="B11" s="120" t="s">
        <v>103</v>
      </c>
      <c r="C11" s="34">
        <v>-1126</v>
      </c>
      <c r="D11" s="34">
        <v>1537</v>
      </c>
      <c r="E11" s="34">
        <v>247</v>
      </c>
      <c r="F11" s="34">
        <v>-1042</v>
      </c>
      <c r="G11" s="34">
        <v>3119</v>
      </c>
      <c r="H11" s="34">
        <v>1844</v>
      </c>
      <c r="I11" s="34">
        <v>-10003</v>
      </c>
      <c r="J11" s="34">
        <v>-20951</v>
      </c>
      <c r="K11" s="34">
        <v>-11830</v>
      </c>
      <c r="L11" s="34">
        <v>-33460</v>
      </c>
      <c r="M11" s="34">
        <v>-14943</v>
      </c>
      <c r="N11" s="34">
        <v>36468</v>
      </c>
      <c r="O11" s="34" t="s">
        <v>97</v>
      </c>
      <c r="P11" s="34" t="s">
        <v>97</v>
      </c>
      <c r="Q11" s="34" t="s">
        <v>97</v>
      </c>
      <c r="R11" s="34" t="s">
        <v>97</v>
      </c>
      <c r="S11" s="34" t="s">
        <v>97</v>
      </c>
      <c r="T11" s="34" t="s">
        <v>97</v>
      </c>
      <c r="U11" s="34" t="s">
        <v>97</v>
      </c>
      <c r="V11" s="34" t="s">
        <v>97</v>
      </c>
      <c r="W11" s="34" t="s">
        <v>97</v>
      </c>
      <c r="X11" s="34" t="s">
        <v>97</v>
      </c>
      <c r="Y11" s="34" t="s">
        <v>97</v>
      </c>
      <c r="Z11" s="34" t="s">
        <v>97</v>
      </c>
      <c r="AA11" s="34" t="s">
        <v>97</v>
      </c>
      <c r="AB11" s="34" t="s">
        <v>97</v>
      </c>
      <c r="AC11" s="34" t="s">
        <v>97</v>
      </c>
      <c r="AD11" s="34" t="s">
        <v>97</v>
      </c>
      <c r="AE11" s="34" t="s">
        <v>97</v>
      </c>
      <c r="AF11" s="34" t="s">
        <v>97</v>
      </c>
      <c r="AG11" s="34" t="s">
        <v>97</v>
      </c>
      <c r="AH11" s="34" t="s">
        <v>97</v>
      </c>
      <c r="AI11" s="34" t="s">
        <v>97</v>
      </c>
      <c r="AJ11" s="34" t="s">
        <v>97</v>
      </c>
      <c r="AK11" s="34" t="s">
        <v>97</v>
      </c>
      <c r="AL11" s="34" t="s">
        <v>97</v>
      </c>
      <c r="AM11" s="34" t="s">
        <v>97</v>
      </c>
    </row>
    <row r="12" spans="1:39" ht="13" customHeight="1" thickBot="1">
      <c r="A12" s="123" t="s">
        <v>264</v>
      </c>
      <c r="B12" s="123" t="s">
        <v>699</v>
      </c>
      <c r="C12" s="37" t="s">
        <v>97</v>
      </c>
      <c r="D12" s="37" t="s">
        <v>97</v>
      </c>
      <c r="E12" s="37" t="s">
        <v>97</v>
      </c>
      <c r="F12" s="37" t="s">
        <v>97</v>
      </c>
      <c r="G12" s="37" t="s">
        <v>97</v>
      </c>
      <c r="H12" s="37" t="s">
        <v>97</v>
      </c>
      <c r="I12" s="37" t="s">
        <v>97</v>
      </c>
      <c r="J12" s="37" t="s">
        <v>97</v>
      </c>
      <c r="K12" s="37" t="s">
        <v>97</v>
      </c>
      <c r="L12" s="37" t="s">
        <v>97</v>
      </c>
      <c r="M12" s="37" t="s">
        <v>97</v>
      </c>
      <c r="N12" s="37" t="s">
        <v>97</v>
      </c>
      <c r="O12" s="37">
        <v>20321</v>
      </c>
      <c r="P12" s="37">
        <v>30927</v>
      </c>
      <c r="Q12" s="37">
        <v>39266</v>
      </c>
      <c r="R12" s="37">
        <v>32500</v>
      </c>
      <c r="S12" s="37">
        <v>29925</v>
      </c>
      <c r="T12" s="37">
        <v>62</v>
      </c>
      <c r="U12" s="37">
        <f>U13+U16</f>
        <v>29450</v>
      </c>
      <c r="V12" s="37">
        <v>16653</v>
      </c>
      <c r="W12" s="37">
        <f>W13+W16</f>
        <v>-13704</v>
      </c>
      <c r="X12" s="37">
        <f>X13+X16</f>
        <v>-74912</v>
      </c>
      <c r="Y12" s="37">
        <v>-54159</v>
      </c>
      <c r="Z12" s="37">
        <f t="shared" ref="Z12:AE12" si="6">Z13+Z16</f>
        <v>51114</v>
      </c>
      <c r="AA12" s="37">
        <f t="shared" si="6"/>
        <v>129991</v>
      </c>
      <c r="AB12" s="37">
        <f t="shared" si="6"/>
        <v>161</v>
      </c>
      <c r="AC12" s="37">
        <f t="shared" si="6"/>
        <v>36236</v>
      </c>
      <c r="AD12" s="37">
        <f t="shared" si="6"/>
        <v>-77578</v>
      </c>
      <c r="AE12" s="37">
        <f t="shared" si="6"/>
        <v>-9208</v>
      </c>
      <c r="AF12" s="37">
        <f t="shared" ref="AF12:AG12" si="7">AF13+AF16</f>
        <v>-5128</v>
      </c>
      <c r="AG12" s="37">
        <f t="shared" si="7"/>
        <v>-33634</v>
      </c>
      <c r="AH12" s="37">
        <f t="shared" ref="AH12:AM12" si="8">AH13+AH16</f>
        <v>21156</v>
      </c>
      <c r="AI12" s="37">
        <f t="shared" si="8"/>
        <v>1337</v>
      </c>
      <c r="AJ12" s="37">
        <f t="shared" si="8"/>
        <v>27121</v>
      </c>
      <c r="AK12" s="37">
        <f t="shared" si="8"/>
        <v>607</v>
      </c>
      <c r="AL12" s="37">
        <f t="shared" si="8"/>
        <v>87376</v>
      </c>
      <c r="AM12" s="37">
        <f t="shared" si="8"/>
        <v>-17943</v>
      </c>
    </row>
    <row r="13" spans="1:39" ht="13" customHeight="1" thickBot="1">
      <c r="A13" s="119" t="s">
        <v>266</v>
      </c>
      <c r="B13" s="119" t="s">
        <v>101</v>
      </c>
      <c r="C13" s="33" t="s">
        <v>97</v>
      </c>
      <c r="D13" s="33" t="s">
        <v>97</v>
      </c>
      <c r="E13" s="33" t="s">
        <v>97</v>
      </c>
      <c r="F13" s="33" t="s">
        <v>97</v>
      </c>
      <c r="G13" s="33" t="s">
        <v>97</v>
      </c>
      <c r="H13" s="33" t="s">
        <v>97</v>
      </c>
      <c r="I13" s="33" t="s">
        <v>97</v>
      </c>
      <c r="J13" s="33" t="s">
        <v>97</v>
      </c>
      <c r="K13" s="33" t="s">
        <v>97</v>
      </c>
      <c r="L13" s="33" t="s">
        <v>97</v>
      </c>
      <c r="M13" s="33" t="s">
        <v>97</v>
      </c>
      <c r="N13" s="33" t="s">
        <v>97</v>
      </c>
      <c r="O13" s="33">
        <v>-3965</v>
      </c>
      <c r="P13" s="33">
        <v>28307</v>
      </c>
      <c r="Q13" s="33">
        <v>32975</v>
      </c>
      <c r="R13" s="33">
        <v>4856</v>
      </c>
      <c r="S13" s="33">
        <v>-2078</v>
      </c>
      <c r="T13" s="33">
        <v>27451</v>
      </c>
      <c r="U13" s="33">
        <f>U14+U15</f>
        <v>23011</v>
      </c>
      <c r="V13" s="33">
        <v>10027</v>
      </c>
      <c r="W13" s="33">
        <f>SUM(W14:W15)</f>
        <v>2023</v>
      </c>
      <c r="X13" s="33">
        <f>SUM(X14:X15)</f>
        <v>-91077</v>
      </c>
      <c r="Y13" s="33">
        <v>-18590</v>
      </c>
      <c r="Z13" s="33">
        <f t="shared" ref="Z13:AE13" si="9">SUM(Z14:Z15)</f>
        <v>40034</v>
      </c>
      <c r="AA13" s="33">
        <f t="shared" si="9"/>
        <v>97755</v>
      </c>
      <c r="AB13" s="33">
        <f t="shared" si="9"/>
        <v>9033</v>
      </c>
      <c r="AC13" s="33">
        <f t="shared" si="9"/>
        <v>27823</v>
      </c>
      <c r="AD13" s="33">
        <f t="shared" si="9"/>
        <v>-93795</v>
      </c>
      <c r="AE13" s="33">
        <f t="shared" si="9"/>
        <v>-13743</v>
      </c>
      <c r="AF13" s="33">
        <f t="shared" ref="AF13:AG13" si="10">SUM(AF14:AF15)</f>
        <v>-10872</v>
      </c>
      <c r="AG13" s="33">
        <f t="shared" si="10"/>
        <v>-38906</v>
      </c>
      <c r="AH13" s="33">
        <f t="shared" ref="AH13:AI13" si="11">SUM(AH14:AH15)</f>
        <v>21766</v>
      </c>
      <c r="AI13" s="33">
        <f t="shared" si="11"/>
        <v>6283</v>
      </c>
      <c r="AJ13" s="33">
        <f t="shared" ref="AJ13:AL13" si="12">SUM(AJ14:AJ15)</f>
        <v>44190</v>
      </c>
      <c r="AK13" s="33">
        <f t="shared" si="12"/>
        <v>6959</v>
      </c>
      <c r="AL13" s="33">
        <f t="shared" si="12"/>
        <v>24045</v>
      </c>
      <c r="AM13" s="33">
        <f t="shared" ref="AM13" si="13">SUM(AM14:AM15)</f>
        <v>-9550</v>
      </c>
    </row>
    <row r="14" spans="1:39" ht="13" customHeight="1" thickBot="1">
      <c r="A14" s="120" t="s">
        <v>262</v>
      </c>
      <c r="B14" s="120" t="s">
        <v>102</v>
      </c>
      <c r="C14" s="34" t="s">
        <v>97</v>
      </c>
      <c r="D14" s="34" t="s">
        <v>97</v>
      </c>
      <c r="E14" s="34" t="s">
        <v>97</v>
      </c>
      <c r="F14" s="34" t="s">
        <v>97</v>
      </c>
      <c r="G14" s="34" t="s">
        <v>97</v>
      </c>
      <c r="H14" s="34" t="s">
        <v>97</v>
      </c>
      <c r="I14" s="34" t="s">
        <v>97</v>
      </c>
      <c r="J14" s="34" t="s">
        <v>97</v>
      </c>
      <c r="K14" s="34" t="s">
        <v>97</v>
      </c>
      <c r="L14" s="34" t="s">
        <v>97</v>
      </c>
      <c r="M14" s="34" t="s">
        <v>97</v>
      </c>
      <c r="N14" s="34" t="s">
        <v>97</v>
      </c>
      <c r="O14" s="34">
        <v>6413</v>
      </c>
      <c r="P14" s="34">
        <v>-445</v>
      </c>
      <c r="Q14" s="34">
        <v>38129</v>
      </c>
      <c r="R14" s="34">
        <v>39410</v>
      </c>
      <c r="S14" s="34">
        <v>2967</v>
      </c>
      <c r="T14" s="34">
        <v>21392</v>
      </c>
      <c r="U14" s="34">
        <v>18343</v>
      </c>
      <c r="V14" s="34">
        <v>28042</v>
      </c>
      <c r="W14" s="34">
        <v>14009</v>
      </c>
      <c r="X14" s="34">
        <v>-10527</v>
      </c>
      <c r="Y14" s="34">
        <v>-12834</v>
      </c>
      <c r="Z14" s="34">
        <v>28669</v>
      </c>
      <c r="AA14" s="34">
        <v>64779</v>
      </c>
      <c r="AB14" s="34">
        <v>1208</v>
      </c>
      <c r="AC14" s="34">
        <v>-4020</v>
      </c>
      <c r="AD14" s="34">
        <v>34408</v>
      </c>
      <c r="AE14" s="34">
        <v>-8044</v>
      </c>
      <c r="AF14" s="34">
        <v>-24064</v>
      </c>
      <c r="AG14" s="34">
        <v>-42800</v>
      </c>
      <c r="AH14" s="34">
        <v>-9019</v>
      </c>
      <c r="AI14" s="34">
        <v>2511</v>
      </c>
      <c r="AJ14" s="34">
        <v>22025</v>
      </c>
      <c r="AK14" s="34">
        <v>-1994</v>
      </c>
      <c r="AL14" s="34">
        <v>45957</v>
      </c>
      <c r="AM14" s="34">
        <v>10548</v>
      </c>
    </row>
    <row r="15" spans="1:39" ht="13" customHeight="1" thickBot="1">
      <c r="A15" s="120" t="s">
        <v>265</v>
      </c>
      <c r="B15" s="120" t="s">
        <v>103</v>
      </c>
      <c r="C15" s="34" t="s">
        <v>97</v>
      </c>
      <c r="D15" s="34" t="s">
        <v>97</v>
      </c>
      <c r="E15" s="34" t="s">
        <v>97</v>
      </c>
      <c r="F15" s="34" t="s">
        <v>97</v>
      </c>
      <c r="G15" s="34" t="s">
        <v>97</v>
      </c>
      <c r="H15" s="34" t="s">
        <v>97</v>
      </c>
      <c r="I15" s="34" t="s">
        <v>97</v>
      </c>
      <c r="J15" s="34" t="s">
        <v>97</v>
      </c>
      <c r="K15" s="34" t="s">
        <v>97</v>
      </c>
      <c r="L15" s="34" t="s">
        <v>97</v>
      </c>
      <c r="M15" s="34" t="s">
        <v>97</v>
      </c>
      <c r="N15" s="34" t="s">
        <v>97</v>
      </c>
      <c r="O15" s="34">
        <v>-10378</v>
      </c>
      <c r="P15" s="34">
        <v>28752</v>
      </c>
      <c r="Q15" s="34">
        <v>-5154</v>
      </c>
      <c r="R15" s="34">
        <v>-34554</v>
      </c>
      <c r="S15" s="34">
        <v>-5045</v>
      </c>
      <c r="T15" s="34">
        <v>6059</v>
      </c>
      <c r="U15" s="34">
        <v>4668</v>
      </c>
      <c r="V15" s="34">
        <v>-18015</v>
      </c>
      <c r="W15" s="34">
        <v>-11986</v>
      </c>
      <c r="X15" s="34">
        <v>-80550</v>
      </c>
      <c r="Y15" s="34">
        <v>-5756</v>
      </c>
      <c r="Z15" s="34">
        <v>11365</v>
      </c>
      <c r="AA15" s="34">
        <v>32976</v>
      </c>
      <c r="AB15" s="34">
        <v>7825</v>
      </c>
      <c r="AC15" s="34">
        <v>31843</v>
      </c>
      <c r="AD15" s="34">
        <v>-128203</v>
      </c>
      <c r="AE15" s="34">
        <v>-5699</v>
      </c>
      <c r="AF15" s="34">
        <v>13192</v>
      </c>
      <c r="AG15" s="34">
        <v>3894</v>
      </c>
      <c r="AH15" s="34">
        <v>30785</v>
      </c>
      <c r="AI15" s="34">
        <v>3772</v>
      </c>
      <c r="AJ15" s="34">
        <v>22165</v>
      </c>
      <c r="AK15" s="34">
        <v>8953</v>
      </c>
      <c r="AL15" s="34">
        <v>-21912</v>
      </c>
      <c r="AM15" s="34">
        <v>-20098</v>
      </c>
    </row>
    <row r="16" spans="1:39" ht="13" customHeight="1" thickBot="1">
      <c r="A16" s="119" t="s">
        <v>331</v>
      </c>
      <c r="B16" s="119" t="s">
        <v>104</v>
      </c>
      <c r="C16" s="33" t="s">
        <v>97</v>
      </c>
      <c r="D16" s="33" t="s">
        <v>97</v>
      </c>
      <c r="E16" s="33" t="s">
        <v>97</v>
      </c>
      <c r="F16" s="33" t="s">
        <v>97</v>
      </c>
      <c r="G16" s="33" t="s">
        <v>97</v>
      </c>
      <c r="H16" s="33" t="s">
        <v>97</v>
      </c>
      <c r="I16" s="33" t="s">
        <v>97</v>
      </c>
      <c r="J16" s="33" t="s">
        <v>97</v>
      </c>
      <c r="K16" s="33" t="s">
        <v>97</v>
      </c>
      <c r="L16" s="33" t="s">
        <v>97</v>
      </c>
      <c r="M16" s="33" t="s">
        <v>97</v>
      </c>
      <c r="N16" s="33" t="s">
        <v>97</v>
      </c>
      <c r="O16" s="33">
        <v>24286</v>
      </c>
      <c r="P16" s="33">
        <v>2620</v>
      </c>
      <c r="Q16" s="33">
        <v>6291</v>
      </c>
      <c r="R16" s="33">
        <v>27644</v>
      </c>
      <c r="S16" s="33">
        <v>32003</v>
      </c>
      <c r="T16" s="33">
        <v>-27389</v>
      </c>
      <c r="U16" s="33">
        <f>U17+U18</f>
        <v>6439</v>
      </c>
      <c r="V16" s="33">
        <v>6626</v>
      </c>
      <c r="W16" s="33">
        <f>SUM(W17:W18)</f>
        <v>-15727</v>
      </c>
      <c r="X16" s="33">
        <f>SUM(X17:X18)</f>
        <v>16165</v>
      </c>
      <c r="Y16" s="33">
        <v>-35569</v>
      </c>
      <c r="Z16" s="33">
        <f t="shared" ref="Z16:AE16" si="14">SUM(Z17:Z18)</f>
        <v>11080</v>
      </c>
      <c r="AA16" s="33">
        <f t="shared" si="14"/>
        <v>32236</v>
      </c>
      <c r="AB16" s="33">
        <f t="shared" si="14"/>
        <v>-8872</v>
      </c>
      <c r="AC16" s="33">
        <f t="shared" si="14"/>
        <v>8413</v>
      </c>
      <c r="AD16" s="33">
        <f t="shared" si="14"/>
        <v>16217</v>
      </c>
      <c r="AE16" s="33">
        <f t="shared" si="14"/>
        <v>4535</v>
      </c>
      <c r="AF16" s="33">
        <f t="shared" ref="AF16:AG16" si="15">SUM(AF17:AF18)</f>
        <v>5744</v>
      </c>
      <c r="AG16" s="33">
        <f t="shared" si="15"/>
        <v>5272</v>
      </c>
      <c r="AH16" s="33">
        <f t="shared" ref="AH16:AI16" si="16">SUM(AH17:AH18)</f>
        <v>-610</v>
      </c>
      <c r="AI16" s="33">
        <f t="shared" si="16"/>
        <v>-4946</v>
      </c>
      <c r="AJ16" s="33">
        <f t="shared" ref="AJ16:AL16" si="17">SUM(AJ17:AJ18)</f>
        <v>-17069</v>
      </c>
      <c r="AK16" s="33">
        <f t="shared" si="17"/>
        <v>-6352</v>
      </c>
      <c r="AL16" s="33">
        <f t="shared" si="17"/>
        <v>63331</v>
      </c>
      <c r="AM16" s="33">
        <f t="shared" ref="AM16" si="18">SUM(AM17:AM18)</f>
        <v>-8393</v>
      </c>
    </row>
    <row r="17" spans="1:39" ht="13" customHeight="1" thickBot="1">
      <c r="A17" s="120" t="s">
        <v>262</v>
      </c>
      <c r="B17" s="120" t="s">
        <v>102</v>
      </c>
      <c r="C17" s="34" t="s">
        <v>97</v>
      </c>
      <c r="D17" s="34" t="s">
        <v>97</v>
      </c>
      <c r="E17" s="34" t="s">
        <v>97</v>
      </c>
      <c r="F17" s="34" t="s">
        <v>97</v>
      </c>
      <c r="G17" s="34" t="s">
        <v>97</v>
      </c>
      <c r="H17" s="34" t="s">
        <v>97</v>
      </c>
      <c r="I17" s="34" t="s">
        <v>97</v>
      </c>
      <c r="J17" s="34" t="s">
        <v>97</v>
      </c>
      <c r="K17" s="34" t="s">
        <v>97</v>
      </c>
      <c r="L17" s="34" t="s">
        <v>97</v>
      </c>
      <c r="M17" s="34" t="s">
        <v>97</v>
      </c>
      <c r="N17" s="34" t="s">
        <v>97</v>
      </c>
      <c r="O17" s="34">
        <v>7806</v>
      </c>
      <c r="P17" s="34">
        <v>881</v>
      </c>
      <c r="Q17" s="34">
        <v>-7947</v>
      </c>
      <c r="R17" s="34">
        <v>27962</v>
      </c>
      <c r="S17" s="34">
        <v>25333</v>
      </c>
      <c r="T17" s="34">
        <v>-11388</v>
      </c>
      <c r="U17" s="34">
        <v>2920</v>
      </c>
      <c r="V17" s="34">
        <v>-19717</v>
      </c>
      <c r="W17" s="34">
        <v>-10858</v>
      </c>
      <c r="X17" s="34">
        <v>-23908</v>
      </c>
      <c r="Y17" s="34">
        <v>-25763</v>
      </c>
      <c r="Z17" s="34">
        <v>1992</v>
      </c>
      <c r="AA17" s="34">
        <v>30729</v>
      </c>
      <c r="AB17" s="34">
        <v>-3025</v>
      </c>
      <c r="AC17" s="34">
        <v>-14453</v>
      </c>
      <c r="AD17" s="34">
        <v>-9528</v>
      </c>
      <c r="AE17" s="34">
        <v>1518</v>
      </c>
      <c r="AF17" s="34">
        <v>6668</v>
      </c>
      <c r="AG17" s="34">
        <v>5509</v>
      </c>
      <c r="AH17" s="34">
        <v>-2610</v>
      </c>
      <c r="AI17" s="34">
        <v>-4354</v>
      </c>
      <c r="AJ17" s="34">
        <v>-6374</v>
      </c>
      <c r="AK17" s="34">
        <v>-5575</v>
      </c>
      <c r="AL17" s="34">
        <v>49385</v>
      </c>
      <c r="AM17" s="34">
        <v>4467</v>
      </c>
    </row>
    <row r="18" spans="1:39" ht="13" customHeight="1" thickBot="1">
      <c r="A18" s="120" t="s">
        <v>265</v>
      </c>
      <c r="B18" s="120" t="s">
        <v>103</v>
      </c>
      <c r="C18" s="34" t="s">
        <v>97</v>
      </c>
      <c r="D18" s="34" t="s">
        <v>97</v>
      </c>
      <c r="E18" s="34" t="s">
        <v>97</v>
      </c>
      <c r="F18" s="34" t="s">
        <v>97</v>
      </c>
      <c r="G18" s="34" t="s">
        <v>97</v>
      </c>
      <c r="H18" s="34" t="s">
        <v>97</v>
      </c>
      <c r="I18" s="34" t="s">
        <v>97</v>
      </c>
      <c r="J18" s="34" t="s">
        <v>97</v>
      </c>
      <c r="K18" s="34" t="s">
        <v>97</v>
      </c>
      <c r="L18" s="34" t="s">
        <v>97</v>
      </c>
      <c r="M18" s="34" t="s">
        <v>97</v>
      </c>
      <c r="N18" s="34" t="s">
        <v>97</v>
      </c>
      <c r="O18" s="34">
        <v>16480</v>
      </c>
      <c r="P18" s="34">
        <v>1739</v>
      </c>
      <c r="Q18" s="34">
        <v>14238</v>
      </c>
      <c r="R18" s="34">
        <v>-318</v>
      </c>
      <c r="S18" s="34">
        <v>6670</v>
      </c>
      <c r="T18" s="34">
        <v>-16001</v>
      </c>
      <c r="U18" s="34">
        <v>3519</v>
      </c>
      <c r="V18" s="34">
        <v>26343</v>
      </c>
      <c r="W18" s="34">
        <v>-4869</v>
      </c>
      <c r="X18" s="34">
        <v>40073</v>
      </c>
      <c r="Y18" s="34">
        <v>-9806</v>
      </c>
      <c r="Z18" s="34">
        <v>9088</v>
      </c>
      <c r="AA18" s="34">
        <v>1507</v>
      </c>
      <c r="AB18" s="34">
        <v>-5847</v>
      </c>
      <c r="AC18" s="34">
        <v>22866</v>
      </c>
      <c r="AD18" s="34">
        <v>25745</v>
      </c>
      <c r="AE18" s="34">
        <v>3017</v>
      </c>
      <c r="AF18" s="34">
        <v>-924</v>
      </c>
      <c r="AG18" s="34">
        <v>-237</v>
      </c>
      <c r="AH18" s="34">
        <v>2000</v>
      </c>
      <c r="AI18" s="34">
        <v>-592</v>
      </c>
      <c r="AJ18" s="34">
        <v>-10695</v>
      </c>
      <c r="AK18" s="34">
        <v>-777</v>
      </c>
      <c r="AL18" s="34">
        <v>13946</v>
      </c>
      <c r="AM18" s="34">
        <v>-12860</v>
      </c>
    </row>
    <row r="19" spans="1:39" ht="13" customHeight="1" thickBot="1">
      <c r="A19" s="121" t="s">
        <v>105</v>
      </c>
      <c r="B19" s="121" t="s">
        <v>105</v>
      </c>
      <c r="C19" s="33" t="s">
        <v>97</v>
      </c>
      <c r="D19" s="33" t="s">
        <v>97</v>
      </c>
      <c r="E19" s="33" t="s">
        <v>97</v>
      </c>
      <c r="F19" s="33" t="s">
        <v>97</v>
      </c>
      <c r="G19" s="33" t="s">
        <v>97</v>
      </c>
      <c r="H19" s="33" t="s">
        <v>97</v>
      </c>
      <c r="I19" s="33" t="s">
        <v>97</v>
      </c>
      <c r="J19" s="33" t="s">
        <v>97</v>
      </c>
      <c r="K19" s="33" t="s">
        <v>97</v>
      </c>
      <c r="L19" s="33" t="s">
        <v>97</v>
      </c>
      <c r="M19" s="33" t="s">
        <v>97</v>
      </c>
      <c r="N19" s="33" t="s">
        <v>97</v>
      </c>
      <c r="O19" s="33">
        <v>-9834</v>
      </c>
      <c r="P19" s="33">
        <v>-15957</v>
      </c>
      <c r="Q19" s="33">
        <v>-17721</v>
      </c>
      <c r="R19" s="33">
        <v>-12247</v>
      </c>
      <c r="S19" s="33">
        <v>-17598</v>
      </c>
      <c r="T19" s="33">
        <v>-10122</v>
      </c>
      <c r="U19" s="33">
        <v>-19712</v>
      </c>
      <c r="V19" s="33">
        <v>-8950</v>
      </c>
      <c r="W19" s="33">
        <v>-6287</v>
      </c>
      <c r="X19" s="33">
        <v>-5477</v>
      </c>
      <c r="Y19" s="33">
        <v>-7455</v>
      </c>
      <c r="Z19" s="33">
        <v>1387</v>
      </c>
      <c r="AA19" s="33">
        <v>3205</v>
      </c>
      <c r="AB19" s="33">
        <v>-3537</v>
      </c>
      <c r="AC19" s="33">
        <v>-5801</v>
      </c>
      <c r="AD19" s="33">
        <v>-51363</v>
      </c>
      <c r="AE19" s="33">
        <v>-3078</v>
      </c>
      <c r="AF19" s="33">
        <v>-50</v>
      </c>
      <c r="AG19" s="33">
        <v>-64</v>
      </c>
      <c r="AH19" s="33">
        <v>-15498</v>
      </c>
      <c r="AI19" s="33">
        <v>-14317</v>
      </c>
      <c r="AJ19" s="33">
        <v>-43978</v>
      </c>
      <c r="AK19" s="33">
        <v>-70617</v>
      </c>
      <c r="AL19" s="33">
        <v>-47498</v>
      </c>
      <c r="AM19" s="33">
        <v>-17735</v>
      </c>
    </row>
    <row r="20" spans="1:39" ht="13" customHeight="1" thickBot="1">
      <c r="A20" s="121" t="s">
        <v>267</v>
      </c>
      <c r="B20" s="121" t="s">
        <v>106</v>
      </c>
      <c r="C20" s="33" t="s">
        <v>97</v>
      </c>
      <c r="D20" s="33" t="s">
        <v>97</v>
      </c>
      <c r="E20" s="33" t="s">
        <v>97</v>
      </c>
      <c r="F20" s="33" t="s">
        <v>97</v>
      </c>
      <c r="G20" s="33" t="s">
        <v>97</v>
      </c>
      <c r="H20" s="33" t="s">
        <v>97</v>
      </c>
      <c r="I20" s="33" t="s">
        <v>97</v>
      </c>
      <c r="J20" s="33" t="s">
        <v>97</v>
      </c>
      <c r="K20" s="33" t="s">
        <v>97</v>
      </c>
      <c r="L20" s="33" t="s">
        <v>97</v>
      </c>
      <c r="M20" s="33" t="s">
        <v>97</v>
      </c>
      <c r="N20" s="33">
        <v>14687</v>
      </c>
      <c r="O20" s="33">
        <v>13538</v>
      </c>
      <c r="P20" s="33">
        <v>15960</v>
      </c>
      <c r="Q20" s="33">
        <v>14455</v>
      </c>
      <c r="R20" s="33">
        <v>17297</v>
      </c>
      <c r="S20" s="33">
        <v>15154</v>
      </c>
      <c r="T20" s="33">
        <v>10270</v>
      </c>
      <c r="U20" s="33">
        <v>22458</v>
      </c>
      <c r="V20" s="33">
        <v>13020</v>
      </c>
      <c r="W20" s="33">
        <v>11690</v>
      </c>
      <c r="X20" s="33">
        <v>13272</v>
      </c>
      <c r="Y20" s="33">
        <v>10170</v>
      </c>
      <c r="Z20" s="33">
        <v>20529</v>
      </c>
      <c r="AA20" s="33">
        <v>19706</v>
      </c>
      <c r="AB20" s="33">
        <v>25742</v>
      </c>
      <c r="AC20" s="33">
        <v>13065</v>
      </c>
      <c r="AD20" s="33">
        <v>33069</v>
      </c>
      <c r="AE20" s="33">
        <v>17341</v>
      </c>
      <c r="AF20" s="33">
        <v>39300</v>
      </c>
      <c r="AG20" s="33">
        <v>17728</v>
      </c>
      <c r="AH20" s="33">
        <v>78894</v>
      </c>
      <c r="AI20" s="33">
        <v>20118</v>
      </c>
      <c r="AJ20" s="33">
        <v>69543</v>
      </c>
      <c r="AK20" s="33">
        <v>31114</v>
      </c>
      <c r="AL20" s="33">
        <v>118673</v>
      </c>
      <c r="AM20" s="33">
        <v>78747</v>
      </c>
    </row>
    <row r="21" spans="1:39" ht="13" customHeight="1" thickBot="1">
      <c r="A21" s="121" t="s">
        <v>268</v>
      </c>
      <c r="B21" s="121" t="s">
        <v>107</v>
      </c>
      <c r="C21" s="35">
        <v>-741</v>
      </c>
      <c r="D21" s="35">
        <v>1702</v>
      </c>
      <c r="E21" s="35">
        <v>-1452</v>
      </c>
      <c r="F21" s="35">
        <v>-69</v>
      </c>
      <c r="G21" s="35">
        <v>-4843</v>
      </c>
      <c r="H21" s="35">
        <v>3457</v>
      </c>
      <c r="I21" s="35">
        <v>-650</v>
      </c>
      <c r="J21" s="35">
        <v>-346</v>
      </c>
      <c r="K21" s="35">
        <v>1087</v>
      </c>
      <c r="L21" s="35">
        <v>-7719</v>
      </c>
      <c r="M21" s="35">
        <v>-4947</v>
      </c>
      <c r="N21" s="35">
        <v>5272</v>
      </c>
      <c r="O21" s="35">
        <v>22355</v>
      </c>
      <c r="P21" s="35">
        <v>-15379</v>
      </c>
      <c r="Q21" s="35">
        <v>-6599</v>
      </c>
      <c r="R21" s="35">
        <v>70571</v>
      </c>
      <c r="S21" s="35">
        <v>4904</v>
      </c>
      <c r="T21" s="35">
        <v>5592</v>
      </c>
      <c r="U21" s="35">
        <v>-1225</v>
      </c>
      <c r="V21" s="35">
        <v>-2485</v>
      </c>
      <c r="W21" s="35">
        <v>-21276</v>
      </c>
      <c r="X21" s="35">
        <v>-111905</v>
      </c>
      <c r="Y21" s="35">
        <v>5282</v>
      </c>
      <c r="Z21" s="33">
        <v>23959</v>
      </c>
      <c r="AA21" s="33">
        <v>-970</v>
      </c>
      <c r="AB21" s="33">
        <v>-755</v>
      </c>
      <c r="AC21" s="33">
        <v>14721</v>
      </c>
      <c r="AD21" s="33">
        <v>22411</v>
      </c>
      <c r="AE21" s="33">
        <v>-164</v>
      </c>
      <c r="AF21" s="33">
        <v>7999</v>
      </c>
      <c r="AG21" s="33">
        <v>75</v>
      </c>
      <c r="AH21" s="33">
        <v>12172</v>
      </c>
      <c r="AI21" s="33">
        <v>55805</v>
      </c>
      <c r="AJ21" s="33">
        <v>-5016</v>
      </c>
      <c r="AK21" s="33">
        <v>-4317</v>
      </c>
      <c r="AL21" s="33">
        <v>-4352</v>
      </c>
      <c r="AM21" s="33">
        <v>12801</v>
      </c>
    </row>
    <row r="22" spans="1:39" ht="13" customHeight="1" thickBot="1">
      <c r="A22" s="121" t="s">
        <v>269</v>
      </c>
      <c r="B22" s="121" t="s">
        <v>108</v>
      </c>
      <c r="C22" s="35">
        <v>-2201</v>
      </c>
      <c r="D22" s="35">
        <v>-5931</v>
      </c>
      <c r="E22" s="35">
        <v>470</v>
      </c>
      <c r="F22" s="35">
        <v>-4706</v>
      </c>
      <c r="G22" s="35">
        <v>-3452</v>
      </c>
      <c r="H22" s="35">
        <v>-8790</v>
      </c>
      <c r="I22" s="35">
        <v>-2369</v>
      </c>
      <c r="J22" s="35">
        <v>-8104</v>
      </c>
      <c r="K22" s="35">
        <v>-3621</v>
      </c>
      <c r="L22" s="35">
        <v>-7366</v>
      </c>
      <c r="M22" s="35">
        <v>-4606</v>
      </c>
      <c r="N22" s="35">
        <v>-10128</v>
      </c>
      <c r="O22" s="35">
        <v>-1756</v>
      </c>
      <c r="P22" s="35">
        <v>-477</v>
      </c>
      <c r="Q22" s="35">
        <v>-932</v>
      </c>
      <c r="R22" s="35">
        <v>-2985</v>
      </c>
      <c r="S22" s="35">
        <v>-1569</v>
      </c>
      <c r="T22" s="35">
        <v>-105</v>
      </c>
      <c r="U22" s="35">
        <v>-7</v>
      </c>
      <c r="V22" s="35">
        <v>-4190</v>
      </c>
      <c r="W22" s="35">
        <v>1307</v>
      </c>
      <c r="X22" s="35">
        <v>-69897</v>
      </c>
      <c r="Y22" s="35">
        <v>-1803</v>
      </c>
      <c r="Z22" s="33">
        <v>-62429</v>
      </c>
      <c r="AA22" s="33">
        <v>-502</v>
      </c>
      <c r="AB22" s="33">
        <v>-1399</v>
      </c>
      <c r="AC22" s="33">
        <v>-1330</v>
      </c>
      <c r="AD22" s="33">
        <v>-7248</v>
      </c>
      <c r="AE22" s="33">
        <v>-30901</v>
      </c>
      <c r="AF22" s="33">
        <v>-9322</v>
      </c>
      <c r="AG22" s="33">
        <v>-975</v>
      </c>
      <c r="AH22" s="33">
        <v>-11193</v>
      </c>
      <c r="AI22" s="33">
        <v>-248</v>
      </c>
      <c r="AJ22" s="33">
        <v>-2951</v>
      </c>
      <c r="AK22" s="33">
        <v>-409</v>
      </c>
      <c r="AL22" s="33">
        <v>-1304</v>
      </c>
      <c r="AM22" s="33">
        <v>-102</v>
      </c>
    </row>
    <row r="23" spans="1:39" ht="13" customHeight="1" thickBot="1">
      <c r="A23" s="121" t="s">
        <v>270</v>
      </c>
      <c r="B23" s="121" t="s">
        <v>23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3">
        <v>0</v>
      </c>
      <c r="K23" s="35">
        <v>0</v>
      </c>
      <c r="L23" s="33">
        <v>0</v>
      </c>
      <c r="M23" s="35">
        <v>0</v>
      </c>
      <c r="N23" s="33">
        <v>0</v>
      </c>
      <c r="O23" s="35">
        <v>0</v>
      </c>
      <c r="P23" s="33">
        <v>0</v>
      </c>
      <c r="Q23" s="35">
        <v>-101</v>
      </c>
      <c r="R23" s="33">
        <v>0</v>
      </c>
      <c r="S23" s="35">
        <v>-75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1</v>
      </c>
      <c r="Z23" s="33">
        <v>-1</v>
      </c>
      <c r="AA23" s="33">
        <v>25</v>
      </c>
      <c r="AB23" s="33">
        <v>0</v>
      </c>
      <c r="AC23" s="33">
        <v>0</v>
      </c>
      <c r="AD23" s="33">
        <v>-28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</row>
    <row r="24" spans="1:39" ht="13" customHeight="1" thickBot="1">
      <c r="A24" s="118" t="s">
        <v>271</v>
      </c>
      <c r="B24" s="118" t="s">
        <v>702</v>
      </c>
      <c r="C24" s="32">
        <v>-144656</v>
      </c>
      <c r="D24" s="32">
        <v>-159483</v>
      </c>
      <c r="E24" s="32">
        <v>-173087</v>
      </c>
      <c r="F24" s="32">
        <v>-194887</v>
      </c>
      <c r="G24" s="32">
        <v>-175745</v>
      </c>
      <c r="H24" s="32">
        <v>-173112</v>
      </c>
      <c r="I24" s="32">
        <v>-199006</v>
      </c>
      <c r="J24" s="32">
        <v>-252024</v>
      </c>
      <c r="K24" s="32">
        <v>-211616</v>
      </c>
      <c r="L24" s="32">
        <v>-256083</v>
      </c>
      <c r="M24" s="32">
        <v>-211959</v>
      </c>
      <c r="N24" s="32">
        <v>-235272</v>
      </c>
      <c r="O24" s="32">
        <v>-244748</v>
      </c>
      <c r="P24" s="32">
        <v>-238075</v>
      </c>
      <c r="Q24" s="32">
        <v>-273190</v>
      </c>
      <c r="R24" s="32">
        <v>-298056</v>
      </c>
      <c r="S24" s="32">
        <v>-274606</v>
      </c>
      <c r="T24" s="32">
        <v>-502645</v>
      </c>
      <c r="U24" s="32">
        <f>U3+U8+U12+U19+U20+U21+U22</f>
        <v>-324788</v>
      </c>
      <c r="V24" s="32">
        <v>-341065</v>
      </c>
      <c r="W24" s="32">
        <f t="shared" ref="W24:AB24" si="19">W3+W8+W12+W19+W20+W21+W22+W23</f>
        <v>-294846</v>
      </c>
      <c r="X24" s="32">
        <f t="shared" si="19"/>
        <v>-985043</v>
      </c>
      <c r="Y24" s="32">
        <f t="shared" si="19"/>
        <v>-291145</v>
      </c>
      <c r="Z24" s="32">
        <f t="shared" si="19"/>
        <v>-295259</v>
      </c>
      <c r="AA24" s="32">
        <f t="shared" si="19"/>
        <v>-243962</v>
      </c>
      <c r="AB24" s="32">
        <f t="shared" si="19"/>
        <v>-266379</v>
      </c>
      <c r="AC24" s="32">
        <f>AC3+AC8+AC12+AC19+AC20+AC21+AC22+AC23</f>
        <v>-253059</v>
      </c>
      <c r="AD24" s="32">
        <f>AD3+AD8+AD12+AD19+AD20+AD21+AD22+AD23</f>
        <v>-253745</v>
      </c>
      <c r="AE24" s="32">
        <f t="shared" ref="AE24:AF24" si="20">AE3+AE8+AE12+AE19+AE20+AE21+AE22+AE23</f>
        <v>-239457</v>
      </c>
      <c r="AF24" s="32">
        <f t="shared" si="20"/>
        <v>-239259</v>
      </c>
      <c r="AG24" s="32">
        <f t="shared" ref="AG24" si="21">AG3+AG8+AG12+AG19+AG20+AG21+AG22+AG23</f>
        <v>-263767</v>
      </c>
      <c r="AH24" s="32">
        <f t="shared" ref="AH24:AM24" si="22">AH3+AH8+AH12+AH19+AH20+AH21+AH22+AH23</f>
        <v>-259673</v>
      </c>
      <c r="AI24" s="32">
        <f t="shared" si="22"/>
        <v>-247389</v>
      </c>
      <c r="AJ24" s="32">
        <f t="shared" si="22"/>
        <v>-150623</v>
      </c>
      <c r="AK24" s="32">
        <f t="shared" si="22"/>
        <v>-154973</v>
      </c>
      <c r="AL24" s="32">
        <f t="shared" si="22"/>
        <v>-77219</v>
      </c>
      <c r="AM24" s="32">
        <f t="shared" si="22"/>
        <v>-111345</v>
      </c>
    </row>
    <row r="25" spans="1:39" ht="13" customHeight="1">
      <c r="A25" s="114"/>
      <c r="B25" s="114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</row>
    <row r="26" spans="1:39" ht="13" customHeight="1" thickBot="1">
      <c r="A26" s="118" t="s">
        <v>342</v>
      </c>
      <c r="B26" s="118" t="s">
        <v>641</v>
      </c>
      <c r="C26" s="32">
        <f t="shared" ref="C26:AB26" si="23">C24-C22-C23</f>
        <v>-142455</v>
      </c>
      <c r="D26" s="32">
        <f t="shared" si="23"/>
        <v>-153552</v>
      </c>
      <c r="E26" s="32">
        <f t="shared" si="23"/>
        <v>-173557</v>
      </c>
      <c r="F26" s="32">
        <f t="shared" si="23"/>
        <v>-190181</v>
      </c>
      <c r="G26" s="32">
        <f t="shared" si="23"/>
        <v>-172293</v>
      </c>
      <c r="H26" s="32">
        <f t="shared" si="23"/>
        <v>-164322</v>
      </c>
      <c r="I26" s="32">
        <f t="shared" si="23"/>
        <v>-196637</v>
      </c>
      <c r="J26" s="32">
        <f t="shared" si="23"/>
        <v>-243920</v>
      </c>
      <c r="K26" s="32">
        <f t="shared" si="23"/>
        <v>-207995</v>
      </c>
      <c r="L26" s="32">
        <f t="shared" si="23"/>
        <v>-248717</v>
      </c>
      <c r="M26" s="32">
        <f t="shared" si="23"/>
        <v>-207353</v>
      </c>
      <c r="N26" s="32">
        <f t="shared" si="23"/>
        <v>-225144</v>
      </c>
      <c r="O26" s="32">
        <f t="shared" si="23"/>
        <v>-242992</v>
      </c>
      <c r="P26" s="32">
        <f t="shared" si="23"/>
        <v>-237598</v>
      </c>
      <c r="Q26" s="32">
        <f t="shared" si="23"/>
        <v>-272157</v>
      </c>
      <c r="R26" s="32">
        <f t="shared" si="23"/>
        <v>-295071</v>
      </c>
      <c r="S26" s="32">
        <f t="shared" si="23"/>
        <v>-272962</v>
      </c>
      <c r="T26" s="32">
        <f t="shared" si="23"/>
        <v>-502540</v>
      </c>
      <c r="U26" s="32">
        <f t="shared" si="23"/>
        <v>-324781</v>
      </c>
      <c r="V26" s="32">
        <f t="shared" si="23"/>
        <v>-336875</v>
      </c>
      <c r="W26" s="32">
        <f t="shared" si="23"/>
        <v>-296153</v>
      </c>
      <c r="X26" s="32">
        <f t="shared" si="23"/>
        <v>-915146</v>
      </c>
      <c r="Y26" s="32">
        <f t="shared" si="23"/>
        <v>-289343</v>
      </c>
      <c r="Z26" s="32">
        <f t="shared" si="23"/>
        <v>-232829</v>
      </c>
      <c r="AA26" s="32">
        <f t="shared" si="23"/>
        <v>-243485</v>
      </c>
      <c r="AB26" s="32">
        <f t="shared" si="23"/>
        <v>-264980</v>
      </c>
      <c r="AC26" s="32">
        <f>AC24-AC22-AC23</f>
        <v>-251729</v>
      </c>
      <c r="AD26" s="32">
        <f>AD24-AD22-AD23</f>
        <v>-246469</v>
      </c>
      <c r="AE26" s="32">
        <f t="shared" ref="AE26:AF26" si="24">AE24-AE22-AE23</f>
        <v>-208556</v>
      </c>
      <c r="AF26" s="32">
        <f t="shared" si="24"/>
        <v>-229937</v>
      </c>
      <c r="AG26" s="32">
        <f t="shared" ref="AG26" si="25">AG24-AG22-AG23</f>
        <v>-262792</v>
      </c>
      <c r="AH26" s="32">
        <f t="shared" ref="AH26:AM26" si="26">AH24-AH22-AH23</f>
        <v>-248480</v>
      </c>
      <c r="AI26" s="32">
        <f t="shared" si="26"/>
        <v>-247141</v>
      </c>
      <c r="AJ26" s="32">
        <f t="shared" si="26"/>
        <v>-147672</v>
      </c>
      <c r="AK26" s="32">
        <f t="shared" si="26"/>
        <v>-154564</v>
      </c>
      <c r="AL26" s="32">
        <f t="shared" si="26"/>
        <v>-75915</v>
      </c>
      <c r="AM26" s="32">
        <f t="shared" si="26"/>
        <v>-111243</v>
      </c>
    </row>
    <row r="27" spans="1:39" ht="13" customHeight="1" thickBot="1">
      <c r="A27" s="118" t="s">
        <v>343</v>
      </c>
      <c r="B27" s="118" t="s">
        <v>341</v>
      </c>
      <c r="C27" s="32">
        <f t="shared" ref="C27:AB27" si="27">C22+C23</f>
        <v>-2201</v>
      </c>
      <c r="D27" s="32">
        <f t="shared" si="27"/>
        <v>-5931</v>
      </c>
      <c r="E27" s="32">
        <f t="shared" si="27"/>
        <v>470</v>
      </c>
      <c r="F27" s="32">
        <f t="shared" si="27"/>
        <v>-4706</v>
      </c>
      <c r="G27" s="32">
        <f t="shared" si="27"/>
        <v>-3452</v>
      </c>
      <c r="H27" s="32">
        <f t="shared" si="27"/>
        <v>-8790</v>
      </c>
      <c r="I27" s="32">
        <f t="shared" si="27"/>
        <v>-2369</v>
      </c>
      <c r="J27" s="32">
        <f t="shared" si="27"/>
        <v>-8104</v>
      </c>
      <c r="K27" s="32">
        <f t="shared" si="27"/>
        <v>-3621</v>
      </c>
      <c r="L27" s="32">
        <f t="shared" si="27"/>
        <v>-7366</v>
      </c>
      <c r="M27" s="32">
        <f t="shared" si="27"/>
        <v>-4606</v>
      </c>
      <c r="N27" s="32">
        <f t="shared" si="27"/>
        <v>-10128</v>
      </c>
      <c r="O27" s="32">
        <f t="shared" si="27"/>
        <v>-1756</v>
      </c>
      <c r="P27" s="32">
        <f t="shared" si="27"/>
        <v>-477</v>
      </c>
      <c r="Q27" s="32">
        <f t="shared" si="27"/>
        <v>-1033</v>
      </c>
      <c r="R27" s="32">
        <f t="shared" si="27"/>
        <v>-2985</v>
      </c>
      <c r="S27" s="32">
        <f t="shared" si="27"/>
        <v>-1644</v>
      </c>
      <c r="T27" s="32">
        <f t="shared" si="27"/>
        <v>-105</v>
      </c>
      <c r="U27" s="32">
        <f t="shared" si="27"/>
        <v>-7</v>
      </c>
      <c r="V27" s="32">
        <f t="shared" si="27"/>
        <v>-4190</v>
      </c>
      <c r="W27" s="32">
        <f t="shared" si="27"/>
        <v>1307</v>
      </c>
      <c r="X27" s="32">
        <f t="shared" si="27"/>
        <v>-69897</v>
      </c>
      <c r="Y27" s="32">
        <f t="shared" si="27"/>
        <v>-1802</v>
      </c>
      <c r="Z27" s="32">
        <f t="shared" si="27"/>
        <v>-62430</v>
      </c>
      <c r="AA27" s="32">
        <f t="shared" si="27"/>
        <v>-477</v>
      </c>
      <c r="AB27" s="32">
        <f t="shared" si="27"/>
        <v>-1399</v>
      </c>
      <c r="AC27" s="32">
        <f>AC22+AC23</f>
        <v>-1330</v>
      </c>
      <c r="AD27" s="32">
        <f>AD22+AD23</f>
        <v>-7276</v>
      </c>
      <c r="AE27" s="32">
        <f t="shared" ref="AE27:AF27" si="28">AE22+AE23</f>
        <v>-30901</v>
      </c>
      <c r="AF27" s="32">
        <f t="shared" si="28"/>
        <v>-9322</v>
      </c>
      <c r="AG27" s="32">
        <f t="shared" ref="AG27:AH27" si="29">AG22+AG23</f>
        <v>-975</v>
      </c>
      <c r="AH27" s="32">
        <f t="shared" si="29"/>
        <v>-11193</v>
      </c>
      <c r="AI27" s="32">
        <f t="shared" ref="AI27:AJ27" si="30">AI22+AI23</f>
        <v>-248</v>
      </c>
      <c r="AJ27" s="32">
        <f t="shared" si="30"/>
        <v>-2951</v>
      </c>
      <c r="AK27" s="32">
        <f t="shared" ref="AK27" si="31">AK22+AK23</f>
        <v>-409</v>
      </c>
      <c r="AL27" s="32">
        <f>AL22+AL23</f>
        <v>-1304</v>
      </c>
      <c r="AM27" s="32">
        <f>AM22+AM23</f>
        <v>-102</v>
      </c>
    </row>
    <row r="28" spans="1:39">
      <c r="AA28" s="9"/>
      <c r="AB28" s="9"/>
      <c r="AC28" s="9"/>
      <c r="AD28" s="9"/>
      <c r="AE28" s="9"/>
      <c r="AF28" s="9"/>
      <c r="AG28" s="9"/>
    </row>
    <row r="31" spans="1:39">
      <c r="AA31" s="9"/>
      <c r="AB31" s="9"/>
      <c r="AC31" s="9"/>
      <c r="AD31" s="9"/>
      <c r="AE31" s="9"/>
      <c r="AF31" s="9"/>
      <c r="AG31" s="9"/>
    </row>
    <row r="32" spans="1:39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5feaa520-8769-46b1-ba3f-0459c8682104}" enabled="1" method="Standard" siteId="{5b7e7e76-9aca-4bca-b480-c8468c5ba86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Menu</vt:lpstr>
      <vt:lpstr>Wskaźniki</vt:lpstr>
      <vt:lpstr>Bilans</vt:lpstr>
      <vt:lpstr>RZiS</vt:lpstr>
      <vt:lpstr>Odsetki</vt:lpstr>
      <vt:lpstr>PPiK</vt:lpstr>
      <vt:lpstr>Prowizje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2024-04-24T10:45:52Z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</Properties>
</file>